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925" windowWidth="11100" windowHeight="4755" tabRatio="789" activeTab="0"/>
  </bookViews>
  <sheets>
    <sheet name="S.E." sheetId="1" r:id="rId1"/>
    <sheet name="IMPLANTAÇÃO " sheetId="2" r:id="rId2"/>
    <sheet name="TÉRREO ADM" sheetId="3" r:id="rId3"/>
    <sheet name="SUPERIOR ADM" sheetId="4" r:id="rId4"/>
    <sheet name="TÉRREO SL. AULA" sheetId="5" r:id="rId5"/>
    <sheet name="SUPERIOR SL. AULA" sheetId="6" r:id="rId6"/>
  </sheets>
  <externalReferences>
    <externalReference r:id="rId9"/>
    <externalReference r:id="rId10"/>
    <externalReference r:id="rId11"/>
    <externalReference r:id="rId12"/>
  </externalReferences>
  <definedNames>
    <definedName name="a" localSheetId="1">'IMPLANTAÇÃO '!#REF!</definedName>
    <definedName name="a" localSheetId="0">'S.E.'!#REF!</definedName>
    <definedName name="a" localSheetId="3">'SUPERIOR ADM'!#REF!</definedName>
    <definedName name="a" localSheetId="5">'SUPERIOR SL. AULA'!#REF!</definedName>
    <definedName name="a" localSheetId="2">'TÉRREO ADM'!#REF!</definedName>
    <definedName name="a" localSheetId="4">'TÉRREO SL. AULA'!#REF!</definedName>
    <definedName name="a">#REF!</definedName>
    <definedName name="AA" localSheetId="1">'IMPLANTAÇÃO '!#REF!</definedName>
    <definedName name="AA" localSheetId="3">#REF!</definedName>
    <definedName name="AA" localSheetId="5">#REF!</definedName>
    <definedName name="AA" localSheetId="2">#REF!</definedName>
    <definedName name="AA" localSheetId="4">#REF!</definedName>
    <definedName name="AA">#REF!</definedName>
    <definedName name="AAA">'[2]CERCOMP'!#REF!</definedName>
    <definedName name="_xlnm.Print_Area" localSheetId="1">'IMPLANTAÇÃO '!#REF!</definedName>
    <definedName name="_xlnm.Print_Area" localSheetId="0">'S.E.'!$A$1:$I$58</definedName>
    <definedName name="_xlnm.Print_Area" localSheetId="3">'SUPERIOR ADM'!$A$6:$I$68</definedName>
    <definedName name="_xlnm.Print_Area" localSheetId="5">'SUPERIOR SL. AULA'!$A$6:$I$67</definedName>
    <definedName name="_xlnm.Print_Area" localSheetId="2">'TÉRREO ADM'!$A$6:$I$83</definedName>
    <definedName name="_xlnm.Print_Area" localSheetId="4">'TÉRREO SL. AULA'!$A$6:$I$65</definedName>
    <definedName name="B">#REF!</definedName>
    <definedName name="IMPLANTAÇÃO" localSheetId="3">'[1]BLOCO 4'!#REF!</definedName>
    <definedName name="IMPLANTAÇÃO" localSheetId="5">'[1]BLOCO 4'!#REF!</definedName>
    <definedName name="IMPLANTAÇÃO">'[1]BLOCO 4'!#REF!</definedName>
    <definedName name="IMPLANTATION" localSheetId="3">#REF!</definedName>
    <definedName name="IMPLANTATION" localSheetId="5">#REF!</definedName>
    <definedName name="IMPLANTATION">#REF!</definedName>
    <definedName name="SDA" localSheetId="5">#REF!</definedName>
    <definedName name="SDA">#REF!</definedName>
    <definedName name="TIAGO">#REF!</definedName>
  </definedNames>
  <calcPr fullCalcOnLoad="1"/>
</workbook>
</file>

<file path=xl/sharedStrings.xml><?xml version="1.0" encoding="utf-8"?>
<sst xmlns="http://schemas.openxmlformats.org/spreadsheetml/2006/main" count="1339" uniqueCount="345">
  <si>
    <t>Área:</t>
  </si>
  <si>
    <t>m</t>
  </si>
  <si>
    <t>m²</t>
  </si>
  <si>
    <t>CUSTO DA OBRA</t>
  </si>
  <si>
    <t>CUSTO TOTAL DA OBRA</t>
  </si>
  <si>
    <t>ITEM</t>
  </si>
  <si>
    <t>DESCRIÇÃO</t>
  </si>
  <si>
    <t>QUANT.</t>
  </si>
  <si>
    <t>UN.</t>
  </si>
  <si>
    <t xml:space="preserve">R$ M.D.O. </t>
  </si>
  <si>
    <t>R$ MAT.</t>
  </si>
  <si>
    <t>R$ SERVIÇO</t>
  </si>
  <si>
    <t xml:space="preserve">R$ TOTAL </t>
  </si>
  <si>
    <t>%</t>
  </si>
  <si>
    <t>unid</t>
  </si>
  <si>
    <t>TOTAL</t>
  </si>
  <si>
    <t>DUTOS E CANAIS PARA FIOS E CABOS</t>
  </si>
  <si>
    <t>ILUMINAÇÃO</t>
  </si>
  <si>
    <t>TOMADAS</t>
  </si>
  <si>
    <t>FIOS E CABOS - EXCLUSIVOS PARA DISTRIBUIÇÃO DOS RAMAIS</t>
  </si>
  <si>
    <t>Valor por (R$/m²):</t>
  </si>
  <si>
    <t>INTERRUPTORES</t>
  </si>
  <si>
    <t>Luminária de emergência DIALUX 2x8W - 220V com bateria recarregável.</t>
  </si>
  <si>
    <t>INSTALAÇÕES ELÉTRICAS</t>
  </si>
  <si>
    <t xml:space="preserve">DISJUNTORES </t>
  </si>
  <si>
    <t>Data:</t>
  </si>
  <si>
    <t xml:space="preserve">PLANILHA ORÇAMENTÁRIA </t>
  </si>
  <si>
    <t>5.10</t>
  </si>
  <si>
    <t>5.13</t>
  </si>
  <si>
    <t>5.12</t>
  </si>
  <si>
    <t>5.11</t>
  </si>
  <si>
    <t>74130/004</t>
  </si>
  <si>
    <t>CAIXAS DE PASSAGEM E QUADROS</t>
  </si>
  <si>
    <t>Sinapi</t>
  </si>
  <si>
    <t>LUMINÁRIA DE SOBREPOR TIPO ARANDELA/ 1 LÂMPADA FLUORESCENTE COMPACTADA ELETRÔNICA DE 26W/ CORPO E GRADE FRONTAL DE PROTEÇÃO EM ALUMÍNIO FUNDIDO COM ACABAMENTO EM PINTURA ELETROSTÁTICA EPÓXI-PÓ NA COR BRANCA/ DIFUSOR EM VIDRO TEMPERADO TRANSPARENTE FRISADO</t>
  </si>
  <si>
    <t xml:space="preserve">Processo: </t>
  </si>
  <si>
    <t>BDI (22%)</t>
  </si>
  <si>
    <t>1.01</t>
  </si>
  <si>
    <t>1.02</t>
  </si>
  <si>
    <t>2.01</t>
  </si>
  <si>
    <t>2.04</t>
  </si>
  <si>
    <t>2.05</t>
  </si>
  <si>
    <t>3.01</t>
  </si>
  <si>
    <t>3.02</t>
  </si>
  <si>
    <t>3.04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</si>
  <si>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</si>
  <si>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</si>
  <si>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</si>
  <si>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</si>
  <si>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</si>
  <si>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</si>
  <si>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</si>
  <si>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</si>
  <si>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</si>
  <si>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</si>
  <si>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</si>
  <si>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</si>
  <si>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</si>
  <si>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</si>
  <si>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6.01</t>
  </si>
  <si>
    <t>7.01</t>
  </si>
  <si>
    <t>7.02</t>
  </si>
  <si>
    <t>7.03</t>
  </si>
  <si>
    <t>7.04</t>
  </si>
  <si>
    <t>1.03</t>
  </si>
  <si>
    <t>1.04</t>
  </si>
  <si>
    <t>Composição</t>
  </si>
  <si>
    <t>Agetop</t>
  </si>
  <si>
    <t>br</t>
  </si>
  <si>
    <t>74130/001</t>
  </si>
  <si>
    <t>Interruptor diferencial residual bipolar 25A-30mA (DR)</t>
  </si>
  <si>
    <t>CAIXA DE PASSAGEM METALICA 30X30X12 CM</t>
  </si>
  <si>
    <t>CONDULETE PVC X 3/4" S/TAMPA</t>
  </si>
  <si>
    <t>73861/017</t>
  </si>
  <si>
    <t>QUADRO DE DISTRIBUIÇÃO DE ENERGIA DE EMBUTIR, EM CHAPA METÁLICA, PARA 6 DISJUNTORES TERMOMAGNETICOS MONOPOLARES, SEM BARRAMENTO, FORNECIMENTO E INSTALAÇÃO</t>
  </si>
  <si>
    <t>CONDULETE PVC L 3/4" S/TAMPA</t>
  </si>
  <si>
    <t>84402</t>
  </si>
  <si>
    <t>TOMADA MÉDIA DE EMBUTIR (1 MÓDULO), 2P+T 10 A, INCLUINDO SUPORTE E PLACA - FORNECIMENTO E INSTALAÇÃO.</t>
  </si>
  <si>
    <t>TOMADA BAIXA DE EMBUTIR (1 MÓDULO), 2P+T 10 A, INCLUINDO SUPORTE E PLACA - FORNECIMENTO E INSTALAÇÃO.</t>
  </si>
  <si>
    <t>1.05</t>
  </si>
  <si>
    <t>73861/014</t>
  </si>
  <si>
    <t>TOMADA MÉDIA DE EMBUTIR (2 MÓDULOS), 2P+T 10 A, INCLUINDO SUPORTE E PLACA - FORNECIMENTO E INSTALAÇÃO.</t>
  </si>
  <si>
    <t>INTERRUPTOR SIMPLES (1 MÓDULO), 10A/250V, INCLUINDO SUPORTE E PLACA - FORNECIMENTO E INSTALAÇÃO.</t>
  </si>
  <si>
    <t>CAIXA OCTOGONAL 4" X 4", PVC, INSTALADA EM LAJE - FORNECIMENTO E INSTALAÇÃO.</t>
  </si>
  <si>
    <t>ELETRODUTO FLEXÍVEL CORRUGADO, PVC, DN 25 MM (3/4"), PARA CIRCUITOS TERMINAIS, INSTALADO EM FORRO - FORNECIMENTO E INSTALAÇÃO.</t>
  </si>
  <si>
    <t>ELETRODUTO RÍGIDO ROSCÁVEL, PVC, DN 25 MM (3/4"), PARA CIRCUITOS TERMINAIS, INSTALADO EM PAREDE - FORNECIMENTO E INSTALAÇÃO.</t>
  </si>
  <si>
    <t>CABO DE COBRE FLEXÍVEL ISOLADO, 2,5 MM², ANTI-CHAMA 450/750 V, PARA CIRCUITOS TERMINAIS - FORNECIMENTO E INSTALAÇÃO - COR VERMELHO (FASE)</t>
  </si>
  <si>
    <t>CABO DE COBRE FLEXÍVEL ISOLADO, 2,5 MM², ANTI-CHAMA 450/750 V, PARA CIRCUITOS TERMINAIS - FORNECIMENTO E INSTALAÇÃO - COR AZUL (NEUTRO)</t>
  </si>
  <si>
    <t>CABO DE COBRE FLEXÍVEL ISOLADO, 2,5 MM², ANTI-CHAMA 450/750 V, PARA CIRCUITOS TERMINAIS - FORNECIMENTO E INSTALAÇÃO - COR VERDE (TERRA)</t>
  </si>
  <si>
    <t>CABO DE COBRE FLEXÍVEL ISOLADO, 2,5 MM², ANTI-CHAMA 450/750 V, PARA CIRCUITOS TERMINAIS - FORNECIMENTO E INSTALAÇÃO - COR BRANCO (RETORNO)</t>
  </si>
  <si>
    <t>CABO DE COBRE FLEXÍVEL ISOLADO, 6 MM², ANTI-CHAMA 0,6/1,0 KV, PARA CIRCUITOS TERMINAIS - FORNECIMENTO E INSTALAÇÃO - COR VERDE (TERRA)</t>
  </si>
  <si>
    <t>CABO DE COBRE FLEXÍVEL ISOLADO, 6 MM², ANTI-CHAMA 0,6/1,0 KV, PARA CIRCUITOS TERMINAIS - FORNECIMENTO E INSTALAÇÃO - COR AZUL (NEUTRO)</t>
  </si>
  <si>
    <t>CABO DE COBRE FLEXÍVEL ISOLADO, 6 MM², ANTI-CHAMA 0,6/1,0 KV, PARA CIRCUITOS TERMINAIS - FORNECIMENTO E INSTALAÇÃO - COR PRETO (FASE)</t>
  </si>
  <si>
    <t>TOMADA BAIXA APARENTE (2 MÓDULOS), 2P+T 10 A, INCLUINDO SUPORTE E PLACA - FORNECIMENTO E INSTALAÇÃO.</t>
  </si>
  <si>
    <t>INTERRUPTOR SIMPLES (2 MÓDULOS), 10A/250V, INCLUINDO SUPORTE E PLACA - FORNECIMENTO E INSTALAÇÃO.</t>
  </si>
  <si>
    <t>TOMADA ALTA APARENTE (1 MÓDULO), 2P+T 10 A - FORNECIMENTO E INSTALAÇÃO.</t>
  </si>
  <si>
    <t>1.06</t>
  </si>
  <si>
    <t>74130/002</t>
  </si>
  <si>
    <t>CABO DE COBRE FLEXÍVEL ISOLADO, 4,0 MM², ANTI-CHAMA 450/750 V, PARA CIRCUITOS TERMINAIS - FORNECIMENTO E INSTALAÇÃO - COR VERMELHO (FASE)</t>
  </si>
  <si>
    <t>CABO DE COBRE FLEXÍVEL ISOLADO, 4,0 MM², ANTI-CHAMA 450/750 V, PARA CIRCUITOS TERMINAIS - FORNECIMENTO E INSTALAÇÃO - COR AZUL (NEUTRO)</t>
  </si>
  <si>
    <t>CABO DE COBRE FLEXÍVEL ISOLADO, 4,0 MM², ANTI-CHAMA 450/750 V, PARA CIRCUITOS TERMINAIS - FORNECIMENTO E INSTALAÇÃO - COR VERDE (TERRA)</t>
  </si>
  <si>
    <t>5.14</t>
  </si>
  <si>
    <t>5.15</t>
  </si>
  <si>
    <t>5.16</t>
  </si>
  <si>
    <t>CAIXA RETANGULAR 4" X 2" MÉDIA (1,30 M DO PISO), PVC, INSTALADA EM PAREDE - FORNECIMENTO E INSTALAÇÃO.</t>
  </si>
  <si>
    <t>4.06</t>
  </si>
  <si>
    <t>6.02</t>
  </si>
  <si>
    <t>3.03</t>
  </si>
  <si>
    <t>3.05</t>
  </si>
  <si>
    <t>2.02</t>
  </si>
  <si>
    <t>2.06</t>
  </si>
  <si>
    <t>2.07</t>
  </si>
  <si>
    <t>2.08</t>
  </si>
  <si>
    <t>ELETRODUTO DE PVC RIGIDO ROSCAVEL (4")</t>
  </si>
  <si>
    <t>74130/007</t>
  </si>
  <si>
    <t xml:space="preserve">LUMINÁRIA DE EMBUTIR ITAIM PARA 2 LÂMPADAS FLUORESCENTES COMPACTA DE 26W. CORPO E REFLETOR EM CHAPA DE AÇO TRATADA COM ACABAMENTO EM PINTURA ELETROSTÁTICA EPÓXI-PÓ NA COR BRANCA. DIFUSOR EM ACRÍLICO LEITOSO. REATOR ELETROMÁGNÉTICO 220V, FT 0,92, SEM RUÍDO ELETROMAGNÉTICO E MECÂNICO COM CERTIFICAÇÃO INMETRO, PROCEL, 5 ANOS DE GARANTIA.
</t>
  </si>
  <si>
    <t>Eletrocalha perfurada 100x100x3000mm com vergalhão e acessórios</t>
  </si>
  <si>
    <t>3.08</t>
  </si>
  <si>
    <t>CURVA DE INVERSÃO PARA ELETROCALHA</t>
  </si>
  <si>
    <t>3.09</t>
  </si>
  <si>
    <t>T HORIZONTAL PARA ELETROCALHA</t>
  </si>
  <si>
    <t>6.03</t>
  </si>
  <si>
    <t>INTERRUPTOR SIMPLES (3 MÓDULOS), 10A/250V, INCLUINDO SUPORTE E PLACA FORNECIMENTO E INSTALAÇÃO.</t>
  </si>
  <si>
    <t>6.04</t>
  </si>
  <si>
    <t>CURVA DE 90° PARA ELETROCALHA</t>
  </si>
  <si>
    <t>3.06</t>
  </si>
  <si>
    <t>3.07</t>
  </si>
  <si>
    <t>Saida horizontal  (eletrocalha para eletroduto 3/4")</t>
  </si>
  <si>
    <t>INTERRUPTOR PARALELO (1 MÓDULOS), 10A/250V, INCLUINDO SUPORTE E PLACA FORNECIMENTO E INSTALAÇÃO.</t>
  </si>
  <si>
    <t>7.05</t>
  </si>
  <si>
    <t>LUMINÁRIA DE SOBREPOR, CORPO EM CHAPA DE AÇO OU ALUMINIO, COR BRANCA, LÂMPADA FLUORESCENTE TUBULAR T8 - 2x16W, COM DIFUSOR ACRÍLICO LEITOSO.</t>
  </si>
  <si>
    <t>TOMADA BAIXA DE EMBUTIR (2 MÓDULOS), 2P+T 10 A, INCLUINDO SUPORTE E PLACA - FORNECIMENTO E INSTALAÇÃO.</t>
  </si>
  <si>
    <t>1.07</t>
  </si>
  <si>
    <t>TOMADA BAIXA APARENTE (1 MÓDULO), 2P+T 10 A, INCLUINDO SUPORTE E PLACA - FORNECIMENTO E INSTALAÇÃO.</t>
  </si>
  <si>
    <t>TOMADA MÉDIA APARENTE (1 MÓDULO), 2P+T 10 A, INCLUINDO SUPORTE E PLACA - FORNECIMENTO E INSTALAÇÃO.</t>
  </si>
  <si>
    <t>1.08</t>
  </si>
  <si>
    <t>CAIXA DE PASSAGEM METALICA 20X20X12 CM</t>
  </si>
  <si>
    <t>CAIXA RETANGULAR 4" X 2" BAIXA (1,30 M DO PISO), PVC, INSTALADA EM PAREDE - FORNECIMENTO E INSTALAÇÃO.</t>
  </si>
  <si>
    <t>2.03</t>
  </si>
  <si>
    <t>Disjuntor Monopolar  20A - Curva C - Siemens e ou equivalente</t>
  </si>
  <si>
    <t>Disjuntor Monopolar  32A - Curva C - Siemens e ou equivalente</t>
  </si>
  <si>
    <t xml:space="preserve">Disjuntor Tripolar  32A - Curva C - Siemens e ou equivalente </t>
  </si>
  <si>
    <t>Disjuntor Monopolar  25A - Curva C - Siemens e ou equivalente</t>
  </si>
  <si>
    <t>4.07</t>
  </si>
  <si>
    <t xml:space="preserve">Disjuntor Tripolar   63A - Curva C - Siemens e ou equivalente </t>
  </si>
  <si>
    <t xml:space="preserve">Disjuntor Tripolar  70A - Curva C - Siemens e ou equivalente </t>
  </si>
  <si>
    <t>DISJUNTOR TERMOMAGNETICO TRIPOLAR EM CAIXA MOLDADA 250A</t>
  </si>
  <si>
    <t>74130/005</t>
  </si>
  <si>
    <t>4.08</t>
  </si>
  <si>
    <t>4.09</t>
  </si>
  <si>
    <t>4.10</t>
  </si>
  <si>
    <t>DISJUNTOR TERMOMAGNETICO TRIPOLAR EM CAIXA MOLDADA 175A</t>
  </si>
  <si>
    <t>74130/010</t>
  </si>
  <si>
    <t>CABO DE COBRE FLEXÍVEL ISOLADO, 16 MM², ANTI-CHAMA 0,6/1,0 KV, PARA DISTRIBUIÇÃO - FORNECIMENTO E INSTALAÇÃO - COR VERDE (TERRA)</t>
  </si>
  <si>
    <t>CABO DE COBRE FLEXÍVEL ISOLADO, 16 MM², ANTI-CHAMA 0,6/1,0 KV, PARA DISTRIBUIÇÃO - FORNECIMENTO E INSTALAÇÃO - COR PRETO (FASE)</t>
  </si>
  <si>
    <t>CABO DE COBRE FLEXÍVEL ISOLADO, 16 MM², ANTI-CHAMA 0,6/1,0 KV, PARA DISTRIBUIÇÃO - FORNECIMENTO E INSTALAÇÃO - COR AZUL (NEUTRO)</t>
  </si>
  <si>
    <t>CABO DE COBRE FLEXÍVEL ISOLADO, 25 MM², ANTI-CHAMA 0,6/1,0 KV, PARA DISTRIBUIÇÃO - FORNECIMENTO E INSTALAÇÃO - COR PRETO (FASE)</t>
  </si>
  <si>
    <t>CABO DE COBRE FLEXÍVEL ISOLADO, 25 MM², ANTI-CHAMA 0,6/1,0 KV, PARA DISTRIBUIÇÃO - FORNECIMENTO E INSTALAÇÃO - COR AZUL (NEUTRO)</t>
  </si>
  <si>
    <t>CABO DE COBRE FLEXÍVEL ISOLADO, 35 MM², ANTI-CHAMA 0,6/1,0 KV, PARA DISTRIBUIÇÃO - FORNECIMENTO E INSTALAÇÃO - COR PRETO (FASE)</t>
  </si>
  <si>
    <t>CABO DE COBRE FLEXÍVEL ISOLADO, 35 MM², ANTI-CHAMA 0,6/1,0 KV, PARA DISTRIBUIÇÃO - FORNECIMENTO E INSTALAÇÃO - COR AZUL (NEUTRO)</t>
  </si>
  <si>
    <t>ELETRODUTO DE PVC RIGIDO ROSCAVEL (3")</t>
  </si>
  <si>
    <t>INSTITUTO FEDERAL DE EDUCAÇÃO, CIÊNCIA E TECNOLOGIA DE GOIÁS</t>
  </si>
  <si>
    <t>Unidade: CAMPUS ÁGUAS LINDAS DE GOIÁS - BLOCO ADMINISTRATIVO</t>
  </si>
  <si>
    <t>Endereço: RUA 21, ÁREA A4, JARDIM QUERÊNCIA - ÁGUAS LINDAS DE GOIÁS - GOIÁS</t>
  </si>
  <si>
    <t>QUADRO DE DISTRIBUIÇÃO DE ENERGIA DE EMBUTIR, EM CHAPA METÁLICA, PARA 12 DISJUNTORES TERMOMAGNETICOS MONOPOLARES, COM BARRAMENTO TRIFÁSICO E NEUTRO, FORNECIMENTO E INSTALAÇÃO</t>
  </si>
  <si>
    <t>QUADRO DE DISTRIBUIÇÃO DE ENERGIA DE EMBUTIR, EM CHAPA METÁLICA, PARA 40 DISJUNTORES TERMOMAGNETICOS MONOPOLARES, COM BARRAMENTO TRIFÁSICO E NEUTRO, FORNECIMENTO E INSTALAÇÃO</t>
  </si>
  <si>
    <t>74131/007</t>
  </si>
  <si>
    <t>83463</t>
  </si>
  <si>
    <t>QUADRO GERAL (800x400x250)mm, MONTADO ESTILO ARMARIO COMPOSTO POR: PLACA DE MONTAGEM; BARRAMENTO TRIFÁSICO PRINCIPAL - 200A; BARRAMENTO DE NEUTRO-200A; BARRAMENTO DE TERRA 150A; CANALETAS PARA ORGANIZAÇÃO DOS CABOS; PLACA DE ACRÍLICO PARA PROTEÇÃO DOS BARRAMENTOS; ISOLADORES ; CHAVE TIPO  YALE PARA FECHAMENTO DO QUADRO.</t>
  </si>
  <si>
    <t>DISJUNTOR TERMOMAGNETICO TRIPOLAR EM CAIXA MOLDADA 100A</t>
  </si>
  <si>
    <t>74130/006</t>
  </si>
  <si>
    <t>INTERRUPTOR PARALELO (2 MÓDULOS), 10A/250V, INCLUINDO SUPORTE E PLACA FORNECIMENTO E INSTALAÇÃO.</t>
  </si>
  <si>
    <t>TOMADA MÉDIA APARENTE (2 MÓDULOS), 2P+T 10 A, INCLUINDO SUPORTE E PLACA - FORNECIMENTO E INSTALAÇÃO.</t>
  </si>
  <si>
    <t>LUMINÁRIA  TIPO REFLETOR DE LED, CORPO EM ALUMINIO REPUXADO, PINTURA ANODIZADA EM CINZA,  FLUXO LUMINOSO IGUAL OU ACIMA: 7560 Im ÍNDICE DE REPRODUÇÃO DE COR: &gt; 70 ÂNGULO ABERTURA (135º A 65º): VIDA ÚTIL ACIMA DE : 25.000H POTÊNCIA: 64W TENSÃO BIVOLT : 100-240V  FREQUÊNCIA: 50/60 Hz  CORRENTE ELÉTRICA: 406 mA (127 V) / 234 mA (220 V) FATOR DE POTÊNCIA: 0.97 TEMP. DE OPERAÇÃO: -20°C a 40°C,   ÍNDICE DE PROTEÇÃO: IP 65 TEMPERATURA DE COR: NEUTRA 4.000K ,  GARANTIA MÍNIMA DE 2 ANOS LED COB</t>
  </si>
  <si>
    <t>LUMINÁRIA DE EMBUTIR ITAIM PARA 2 LÂMPADAS FLUORESCENTES COMPACTA DE 26W. CORPO E REFLETOR EM CHAPA DE AÇO TRATADA COM ACABAMENTO EM PINTURA ELETROSTÁTICA EPÓXI-PÓ NA COR BRANCA. DIFUSOR EM ACRÍLICO LEITOSO. REATOR ELETROMÁGNÉTICO 220V, FT 0,92, SEM RUÍDO ELETROMAGNÉTICO E MECÂNICO COM CERTIFICAÇÃO INMETRO, PROCEL, 5 ANOS DE GARANTIA.</t>
  </si>
  <si>
    <t>7.06</t>
  </si>
  <si>
    <t/>
  </si>
  <si>
    <t>SINAPI</t>
  </si>
  <si>
    <t>cotação</t>
  </si>
  <si>
    <t>AGETOP</t>
  </si>
  <si>
    <t>KG</t>
  </si>
  <si>
    <t>OBSERVAÇÕES:</t>
  </si>
  <si>
    <t xml:space="preserve">As marcas constantes nesta planilha e no caderno de especificações são referências dos materiais especificados e que devem ser empregados na obra. Poderão ser utilizados materiais de marcas diferentes, desde que esses materiais sejam equivalentes aos descritos acima, quanto à qualidade, linha de fabricação e características. </t>
  </si>
  <si>
    <t xml:space="preserve">A LICITANTE deverá apresentar um cronograma físico-financeiro que será analisado e aprovado pela UFG, caso venha a ser ela a contratada. </t>
  </si>
  <si>
    <t xml:space="preserve">Este orçamento levou em consideração as leis sociais.  </t>
  </si>
  <si>
    <t>Este orçamento é meramente informativo. A relação dos serviços, assim como seus quantitativos e composições, é de inteira responsabilidade da empresa Contratada. O mesmo se aplica ao BDI.</t>
  </si>
  <si>
    <t>O valor apresentado na coluna "serviços" contempla tanto o valor da mão de obra quanto o valor do material necessários para a  execução do serviço a que se referem, mesmo nos itens em que o valor da mão de obra não esteja explícito na coluna "mão de obra" ou que o valor do material não esteja explícito na coluna "material".</t>
  </si>
  <si>
    <t>Foi estimado um BDI de 25% para esta obra, entretanto, o custo do BDI de cada empresa é individual e deverá contemplar todos os serviços previstos no Edital e que não estão diretamente contemplados nos serviços discriminados na presente planilha.</t>
  </si>
  <si>
    <t>São consideradas parcelas de maior relevância os serviços de engenharia elétrica/ eletrônica (instalações elétricas e de cabeamento estruturado).</t>
  </si>
  <si>
    <t>Prazo para a execução dos serviços: 6 (seis) meses.</t>
  </si>
  <si>
    <t>___________________________</t>
  </si>
  <si>
    <t>Fernando Melo Franco</t>
  </si>
  <si>
    <t>Engenheiro Eletricista</t>
  </si>
  <si>
    <t>CONFEA/CREA 11.179/D-GO</t>
  </si>
  <si>
    <t>CAIXA DE PASSAGEM (800x800x1400)mm alv. Com tampa</t>
  </si>
  <si>
    <t>QUADRO QGBT`S</t>
  </si>
  <si>
    <t xml:space="preserve">Disjuntor Tripolar  5 SX1  800A - Curva C - Siemens e ou equivalente </t>
  </si>
  <si>
    <t>COTAÇÃO</t>
  </si>
  <si>
    <t>DUTOS/ ELETROCALHA</t>
  </si>
  <si>
    <t>und</t>
  </si>
  <si>
    <t>FIOS E CABOS</t>
  </si>
  <si>
    <t>Cabo unipolar 185,0mm² EPR/XLPE 90ºC- Cor Preta (fase)</t>
  </si>
  <si>
    <t>Cabo unipolar 185,0mm² EPR/XLPE 90ºC- Cor  Azul (neutro)</t>
  </si>
  <si>
    <t>REGULARIZAÇÃO DO TERRENO</t>
  </si>
  <si>
    <t>M²</t>
  </si>
  <si>
    <t>5622</t>
  </si>
  <si>
    <t>CONCRETO USINADO BOMBEADO FCK=25MPA, INCLUSIVE LANCAMENTO E ADENSAMENTO P/ ENVELOPAMENTO - considerado uma base 2,0x2,0m e espessura igual a 30cm</t>
  </si>
  <si>
    <t>M³</t>
  </si>
  <si>
    <t>74138/003</t>
  </si>
  <si>
    <t xml:space="preserve">AÇO CA-50 </t>
  </si>
  <si>
    <t>74254/002</t>
  </si>
  <si>
    <t>OBRA CIVIL</t>
  </si>
  <si>
    <t>8.01</t>
  </si>
  <si>
    <t>ESCAVACAO MANUAL DE VALAS EM TERRA COMPACTA, PROF. DE 0 M &lt; H &lt;= 1 M</t>
  </si>
  <si>
    <t>m³</t>
  </si>
  <si>
    <t>79507/005</t>
  </si>
  <si>
    <t>8.02</t>
  </si>
  <si>
    <t>Escavação Caixa de Passagem</t>
  </si>
  <si>
    <t>8.03</t>
  </si>
  <si>
    <t>REATERRO E COMPACTACAO MECANICO DE VALA COM COMPACTADOR MANUAL TIPO SOQUETE VIBRATORIO</t>
  </si>
  <si>
    <t>5719</t>
  </si>
  <si>
    <t>8.04</t>
  </si>
  <si>
    <t>Brito n°0 para envelopamento</t>
  </si>
  <si>
    <t>051027</t>
  </si>
  <si>
    <t>8.05</t>
  </si>
  <si>
    <t>CONCRETO USINADO BOMBEADO FCK=15MPA, INCLUSIVE LANCAMENTO E ADENSAMENTO P/ ENVELOPAMENTO</t>
  </si>
  <si>
    <t>74138/001</t>
  </si>
  <si>
    <t>8.06</t>
  </si>
  <si>
    <t>AREIA FINA PARA ENVELOPAMENTO</t>
  </si>
  <si>
    <t>00000366</t>
  </si>
  <si>
    <t>8.07</t>
  </si>
  <si>
    <t>Fita de advertência - perigo - risco de choque - rolo com 300mx7,5cm</t>
  </si>
  <si>
    <t>*Obs.: Item orçado, mas deve ser consultado junto à Celg, que executa a rede e cobra taxa especial do consumidor.</t>
  </si>
  <si>
    <t>CAIXA METÁLICA PARA DISJUNTOR GERAL  (1000x1200x310)mm</t>
  </si>
  <si>
    <t>Und.</t>
  </si>
  <si>
    <t>BRITA Nº01 - m³</t>
  </si>
  <si>
    <t>CX. ATERRAMENTO (200x200x250)mm dimensões internas em ALVENARIA COM TAMPA DE FERRO</t>
  </si>
  <si>
    <t>Fita isolante alto-fusão - 25m</t>
  </si>
  <si>
    <t>Cabo unipolar 120,0mm² EPR/XLPE 90ºC- Cor Preta (fase)</t>
  </si>
  <si>
    <t>Cabo unipolar 120,0mm² EPR/XLPE 90ºC- Cor  Azul (neutro)</t>
  </si>
  <si>
    <t>Cabo unipolar 70,0mm² EPR/XLPE 90ºC- Cor  Azul (terra)</t>
  </si>
  <si>
    <t>Cabo unipolar 60,0mm² EPR/XLPE 90ºC- Cor  Azul (terra)</t>
  </si>
  <si>
    <t>BASE PARA GERADOR DE 300 kVA</t>
  </si>
  <si>
    <t>QGG/QGC-1</t>
  </si>
  <si>
    <t>74130/008</t>
  </si>
  <si>
    <t>74130/009</t>
  </si>
  <si>
    <t>CABO DE COBRE FLEXÍVEL ISOLADO, 35 MM², ANTI-CHAMA 0,6/1,0 KV, PARA DISTRIBUIÇÃO - FORNECIMENTO E INSTALAÇÃO - COR VERDE (TERRA)</t>
  </si>
  <si>
    <t>CABO DE COBRE FLEXÍVEL ISOLADO, 70 MM², ANTI-CHAMA 0,6/1,0 KV, PARA DISTRIBUIÇÃO - FORNECIMENTO E INSTALAÇÃO - COR AZUL (NEUTRO)</t>
  </si>
  <si>
    <t>CABO DE COBRE FLEXÍVEL ISOLADO, 70 MM², ANTI-CHAMA 0,6/1,0 KV, PARA DISTRIBUIÇÃO - FORNECIMENTO E INSTALAÇÃO - COR PRETO (FASE)</t>
  </si>
  <si>
    <t>5.17</t>
  </si>
  <si>
    <t>5.18</t>
  </si>
  <si>
    <t>ELETRODUTO DE PVC RIGIDO ROSCAVEL (1 1/2")</t>
  </si>
  <si>
    <t>Unidade: CAMPUS ÁGUAS LINDAS DE GOIÁS - BLOCO SALA DE AULA</t>
  </si>
  <si>
    <t>QUADRO DE DISTRIBUIÇÃO DE ENERGIA DE EMBUTIR, EM CHAPA METÁLICA, PARA 24 DISJUNTORES TERMOMAGNETICOS MONOPOLARES, COM BARRAMENTO TRIFÁSICO E NEUTRO, FORNECIMENTO E INSTALAÇÃO</t>
  </si>
  <si>
    <t>74131/005</t>
  </si>
  <si>
    <t>QUADRO DE DISTRIBUIÇÃO DE ENERGIA DE EMBUTIR, EM CHAPA METÁLICA, PARA 32 DISJUNTORES TERMOMAGNETICOS MONOPOLARES, COM BARRAMENTO TRIFÁSICO E NEUTRO, FORNECIMENTO E INSTALAÇÃO</t>
  </si>
  <si>
    <t>ELETROPERFIL LISO COM TAMPA DE PRESSÃO, EM FERRO GALVANIZADO A FOGO (38x38x6000)mm barra 6m</t>
  </si>
  <si>
    <t>Caixa de derivação tipo "L" para instalação em perfilado</t>
  </si>
  <si>
    <t>3.10</t>
  </si>
  <si>
    <t>Caixa de derivação tipo "I" para instalação em perfilado</t>
  </si>
  <si>
    <t>3.11</t>
  </si>
  <si>
    <t>DISJUNTOR TERMOMAGNETICO TRIPOLAR EM CAIXA MOLDADA 150A</t>
  </si>
  <si>
    <t>QUADRO DE DISTRIBUICAO DE ENERGIA PARA  6 DISJUNTORES TERMOMAGNETICOS MONOPOLARES SEM BARRAMENTO, DE EMBUTIR, EM CHAPA METALICA - FORNECIMENTO
E INSTALACAO</t>
  </si>
  <si>
    <t>3.12</t>
  </si>
  <si>
    <t>SUBESTAÇÃO</t>
  </si>
  <si>
    <t>1</t>
  </si>
  <si>
    <t>Subestação Completa tipo pedestal com envólucro  + Frete + Montagem + Iluminação + Tomada + Extintor - com  disjuntor geral trifásico -500A-380V + Trafo de 300KVA Seco.13,8kv/220/380v Verificar projeto completo para fornecimento e cotação.</t>
  </si>
  <si>
    <t>UNID.</t>
  </si>
  <si>
    <t>INFRA-ESTRUTURA PARA S.E. 500kVA - PEDESTAL</t>
  </si>
  <si>
    <t>SOLDA EXOTERMICA P/ INTERLIGAÇÃO DAS MALHAS DE ATERRAMENTO</t>
  </si>
  <si>
    <t>Cordoalha de cobre  Nú , 70,0 mm²</t>
  </si>
  <si>
    <t>Haste coperweld diâmetro 16x2400mm</t>
  </si>
  <si>
    <t>EXTENSÃO DE REDE E SUBESTAÇÃO</t>
  </si>
  <si>
    <t>ELETRODUTO pvc rigido   Ø4"-100mm - brr-3,0m</t>
  </si>
  <si>
    <t>pino de Isolador para cruzeta de aço ,15kv.</t>
  </si>
  <si>
    <t>olhal para parafuso</t>
  </si>
  <si>
    <t>3.13</t>
  </si>
  <si>
    <t>3.14</t>
  </si>
  <si>
    <t>CINTA DE AÇO GALVANIZADO,PARA POSTE CC 11/300KGF COMPLETA</t>
  </si>
  <si>
    <t>3.15</t>
  </si>
  <si>
    <t>3.16</t>
  </si>
  <si>
    <t>3.17</t>
  </si>
  <si>
    <t>ELO FUSIVEL ,DT 16/36,2KVTIPO BOTÃO FIX,25K</t>
  </si>
  <si>
    <t>3.18</t>
  </si>
  <si>
    <t>3.19</t>
  </si>
  <si>
    <t>3.20</t>
  </si>
  <si>
    <t>ESPAÇADOR</t>
  </si>
  <si>
    <t>3.21</t>
  </si>
  <si>
    <t>CABO UNIPOLAR DE COBRE CLASSE II  ISOL.POLIETILENO RETICULADO,1#35mm2- 15 KV-XLPE 90oc</t>
  </si>
  <si>
    <t>3.22</t>
  </si>
  <si>
    <t>CABO PARA NEUTRO 2CA - ALUMÍNIO</t>
  </si>
  <si>
    <t>3.23</t>
  </si>
  <si>
    <t>CABO MENSAGEIRO 1#9,5mm</t>
  </si>
  <si>
    <t>3.24</t>
  </si>
  <si>
    <t>3.25</t>
  </si>
  <si>
    <t>PARA-RAIOS DISTR. TIPO ÓXIDO DE ZINCO,  POLIMÉRICOS SEM  SENTELHADOR COM DESL. AUTOMÁTICO TENSÕES DE 12KV, MCOV-10,2KV P\ SIST. 13,8KV, IN=10KA, F=60HZ  INSTALAR NA CARCAÇA DO TRANSFORMADOR</t>
  </si>
  <si>
    <t>3.26</t>
  </si>
  <si>
    <t>3.27</t>
  </si>
  <si>
    <t xml:space="preserve">PARAFUSO CABEÇA ABAULADA, M16 x 45mm
</t>
  </si>
  <si>
    <t>PARAFUSO CABEÇA ABAULADA, M16 x 70mm</t>
  </si>
  <si>
    <t>ARAME GALVANIZADO 12 BWG</t>
  </si>
  <si>
    <t>Chave fusível, base "C", 12kV, NBI 95kV, elo 25K</t>
  </si>
  <si>
    <t>Protetor de pára-raios</t>
  </si>
  <si>
    <t>Suporte "Z" para fixação de pára-raios ou chave fusível</t>
  </si>
  <si>
    <t xml:space="preserve">Laço preformado plástico para espaçador e separador </t>
  </si>
  <si>
    <t>Braço "C"</t>
  </si>
  <si>
    <t>Cantoneira auxiliar para braço "C"</t>
  </si>
  <si>
    <t>Conector de compressão formato "H"</t>
  </si>
  <si>
    <t>Conector estribo tipo cunha</t>
  </si>
  <si>
    <t>Capa isolante para conector tipo cunha</t>
  </si>
  <si>
    <t>Protetor para estribo e grampo de linha viva</t>
  </si>
  <si>
    <t>Sapatilha</t>
  </si>
  <si>
    <t>Manilha sapatilha</t>
  </si>
  <si>
    <t>Isolador de ancoragem polimérico, 15kV</t>
  </si>
  <si>
    <t>6.05</t>
  </si>
  <si>
    <t>6.06</t>
  </si>
  <si>
    <t>6.07</t>
  </si>
  <si>
    <t>4.11</t>
  </si>
  <si>
    <t>4.12</t>
  </si>
  <si>
    <t>DISJUNTOR TERMOMAGNETICO TRIPOLAR EM CAIXA MOLDADA 350A</t>
  </si>
  <si>
    <t>DISJUNTOR TERMOMAGNETICO TRIPOLAR EM CAIXA MOLDADA 500A</t>
  </si>
  <si>
    <t>DISJUNTOR TERMOMAGNETICO TRIPOLAR EM CAIXA MOLDADA 125A</t>
  </si>
  <si>
    <t>Cabo unipolar 150,0mm² EPR/XLPE 90ºC- Cor Preta (fase)</t>
  </si>
  <si>
    <t>Cabo unipolar 150,0mm² EPR/XLPE 90ºC- Cor  Azul (neutro)</t>
  </si>
  <si>
    <t>Cabo unipolar 70,0mm² EPR/XLPE 90ºC- Cor Preta (fase)</t>
  </si>
  <si>
    <t>Cabo unipolar 70,0mm² EPR/XLPE 90ºC- Cor  Azul (neutro)</t>
  </si>
  <si>
    <t>Cabo unipolar 35,0mm² EPR/XLPE 90ºC- Cor  Azul (terra)</t>
  </si>
  <si>
    <t>Cabo unipolar 50,0mm² EPR/XLPE 90ºC- Cor Preta (fase)</t>
  </si>
  <si>
    <t>Cabo unipolar 50,0mm² EPR/XLPE 90ºC- Cor  Azul (neutro)</t>
  </si>
  <si>
    <t>Cabo unipolar 25,0mm² EPR/XLPE 90ºC- Cor  Azul (terra)</t>
  </si>
  <si>
    <t>Cabo unipolar 35,0mm² EPR/XLPE 90ºC- Cor Preta (fase)</t>
  </si>
  <si>
    <t>Cabo unipolar 35,0mm² EPR/XLPE 90ºC- Cor  Azul (neutro)</t>
  </si>
  <si>
    <t>Cabo unipolar 16,0mm² EPR/XLPE 90ºC- Cor  Azul (terra)</t>
  </si>
  <si>
    <t>4.13</t>
  </si>
  <si>
    <t>4.14</t>
  </si>
  <si>
    <t>4.15</t>
  </si>
  <si>
    <t>4.16</t>
  </si>
  <si>
    <t>4.17</t>
  </si>
  <si>
    <t>4.18</t>
  </si>
  <si>
    <t>Grupo Gerador diesel Cummins Power Generation,  (300kVA) em regime de emergência, 60 Hz, 380/220V, com sistema de arrefecimento por radiador e tanque de cumbustível de 500 litros montado no chassi do grupo gerador. Sistema de controle microprocessado Power Command 1.1, para gerenciamento do Grupo Gerador.</t>
  </si>
  <si>
    <r>
      <t xml:space="preserve">LUMINÁRIA DE SOBREPOR, CORPO EM CHAPA DE AÇO OU ALUMINIO, COR BRANCA, LÂMPADA FLUORESCENTE TUBULAR T8 - 2x32W, COM DIFUSOR ACRÍLICO LEITOSO. </t>
    </r>
    <r>
      <rPr>
        <sz val="8"/>
        <color indexed="10"/>
        <rFont val="Arial"/>
        <family val="2"/>
      </rPr>
      <t>(EXISTEM 132 LUMINÁRIAS EXISTENTES, QUE SERÃO REAPROVEITADAS)</t>
    </r>
  </si>
  <si>
    <r>
      <rPr>
        <sz val="8"/>
        <rFont val="Calibri"/>
        <family val="2"/>
      </rPr>
      <t> • </t>
    </r>
    <r>
      <rPr>
        <sz val="9.2"/>
        <rFont val="Calibri"/>
        <family val="2"/>
      </rPr>
      <t> </t>
    </r>
    <r>
      <rPr>
        <sz val="8"/>
        <color indexed="8"/>
        <rFont val="Arial"/>
        <family val="2"/>
      </rPr>
      <t xml:space="preserve">MÓDULO ENTRADA GERAL - QGF-SE - SUBESTAÇÃO.;  •PLACA DE IDENTIFICAÇÃO DOS MODULOS;     •AMPERÍMETRO DE PAINEL (0-1500A)-380V.;     •VOLTÍMETRO DE PAINEL (V-0-500V);    •CHAVE COMUTADORA VOLTIMÉTRICA 194L-E12-8271 ALLEN-BRADLEY;     •CHAVE COMUTADORA VOLTIMÉTRICA 194L-E12-8271 ALLEN-BRADLEY;     •CHAVE COMUTADORA AMPERIMÉTRICA 194EL-E12-8757 ALLEN-BRADLEY;     •FECHADURA YALE; VISOR EM VIDRO TEMPERADO OU ACRÍLICO, 3mm;     •LÂMPADA FLUORESCENTE 1x20w REATOR ELETRÔNICO ILUMINAÇÃO DOS MÓDULOS-220VCA.;      •INTERRUPTOR DE PORTA 220V-5A P/ ACIONAMENTO ILUMINAÇÃO DO QUADRO ;      •BARRAMENTO RETANGULAR 2000A;      •CHAPA DE ACRÍLICO 2mm PARA PROTEÇÃO DO BARRAMENTO;      •ISOLADOR E FIXADOR DE BARRAMENTO PARA BAIXA TENSÃO;      •TC 800A/5A CLASSE PRECISÃO 0,6 -  5,0VA SIEMENS;      •TOMADA MONOFÁSICA EXTERNA 220V-20A;      •PÁRA-RAIO DE LINHA ZnO PARA BAIXA TENSÃO 220VCA - MONOFÁSICO.;      •VENTILADOR VAZÃO 100dcm3/S 300W-220V COM TERMOSTATO ACLOPADO;      •BANCO PARA CORREÇÃO FP PREVISÃO ;    </t>
    </r>
  </si>
  <si>
    <t xml:space="preserve">  •DISJUNTOR TERMOMAGNÉTICO TRIPOLAR - 380V-60HZ-500A-SIEMENS-OU GE SIMILAR - CORRENTE DE CURTO CIRCUITO: 20KA;      •DISJUNTOR TERMOMAGNÉTICO TRIPOLAR - 380V-60HZ-250A-SIEMENS-OU GE SIMILAR - CORRENTE DE CURTO CIRCUITO: 20KA;      •DISJUNTOR TERMOMAGNÉTICO TRIPOLAR - 380V-60HZ-350A-SIEMENS-OU GE SIMILAR - CORRENTE DE CURTO CIRCUITO: 10KA;       •DISJUNTOR TERMOMAGNÉTICO TRIPOLAR - 380V-60HZ-100A-SIEMENS-OU GE SIMILAR - CORRENTE DE CURTO CIRCUITO: 20KA;         •DISJUNTOR TERMOMAGNÉTICO TRIPOLAR - 380V-60HZ-175A-SIEMENS-OU GE SIMILAR - CORRENTE DE CURTO CIRCUITO: 10KA;         •DISJUNTOR TERMOMAGNÉTICO MONOPOLAR - 220V-60HZ-25A-SIEMENS-OU GE SIMILAR - CORRENTE DE CURTO CIRCUITO: 5KA;      •DISJUNTOR TERMOMAGNÉTICO MONOPOLAR - 220V-60HZ-150A-SIEMENS-OU GE SIMILAR - CORRENTE DE CURTO CIRCUITO: 5KA;           •DISJUNTOR TERMOMAGNÉTICO MONOPOLAR - 220V-60HZ-125A-SIEMENS-OU GE SIMILAR - CORRENTE DE CURTO CIRCUITO: 5KA.</t>
  </si>
  <si>
    <t>KIT. BARRAMENTO 1000A TRIFÁSICO 2000A</t>
  </si>
  <si>
    <t>QUADRO GERAL (800x400x250)mm, MONTADO ESTILO ARMARIO COMPOSTO POR: PLACA DE MONTAGEM; BARRAMENTO TRIFÁSICO PRINCIPAL -300A; BARRAMENTO DE NEUTRO-300A; BARRAMENTO DE TERRA 150A; CANALETAS PARA ORGANIZAÇÃO DOS CABOS; PLACA DE ACRÍLICO PARA PROTEÇÃO DOS BARRAMENTOS; ISOLADORES ; CHAVE TIPO  YALE PARA FECHAMENTO DO QUADRO.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</si>
</sst>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0_);_(* \(#,##0.00\);_(* &quot;-&quot;???_);_(@_)"/>
    <numFmt numFmtId="180" formatCode="000000"/>
    <numFmt numFmtId="181" formatCode="d\ \ mmmm\,\ yyy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00%"/>
    <numFmt numFmtId="190" formatCode="0.0000%"/>
    <numFmt numFmtId="191" formatCode="&quot;R$ &quot;#,##0.00"/>
    <numFmt numFmtId="192" formatCode="0.000%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Garamond"/>
      <family val="1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9.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54" applyFont="1" applyFill="1">
      <alignment/>
      <protection/>
    </xf>
    <xf numFmtId="2" fontId="0" fillId="0" borderId="0" xfId="54" applyNumberFormat="1" applyFont="1" applyFill="1">
      <alignment/>
      <protection/>
    </xf>
    <xf numFmtId="0" fontId="0" fillId="0" borderId="0" xfId="54" applyFont="1" applyFill="1" applyAlignment="1">
      <alignment vertical="justify" wrapText="1"/>
      <protection/>
    </xf>
    <xf numFmtId="0" fontId="0" fillId="0" borderId="0" xfId="54" applyFont="1" applyFill="1" applyAlignment="1">
      <alignment vertical="top"/>
      <protection/>
    </xf>
    <xf numFmtId="0" fontId="4" fillId="0" borderId="0" xfId="54" applyFont="1" applyFill="1">
      <alignment/>
      <protection/>
    </xf>
    <xf numFmtId="2" fontId="4" fillId="0" borderId="0" xfId="54" applyNumberFormat="1" applyFont="1" applyFill="1">
      <alignment/>
      <protection/>
    </xf>
    <xf numFmtId="0" fontId="4" fillId="0" borderId="0" xfId="54" applyFont="1" applyFill="1" applyAlignment="1">
      <alignment vertical="justify" wrapText="1"/>
      <protection/>
    </xf>
    <xf numFmtId="0" fontId="4" fillId="0" borderId="0" xfId="54" applyFont="1" applyFill="1" applyAlignment="1">
      <alignment horizontal="center" vertical="top"/>
      <protection/>
    </xf>
    <xf numFmtId="0" fontId="4" fillId="0" borderId="0" xfId="54" applyFont="1" applyFill="1" applyAlignment="1">
      <alignment vertical="top"/>
      <protection/>
    </xf>
    <xf numFmtId="4" fontId="5" fillId="34" borderId="10" xfId="54" applyNumberFormat="1" applyFont="1" applyFill="1" applyBorder="1" applyAlignment="1">
      <alignment/>
      <protection/>
    </xf>
    <xf numFmtId="49" fontId="10" fillId="0" borderId="10" xfId="54" applyNumberFormat="1" applyFont="1" applyFill="1" applyBorder="1" applyAlignment="1">
      <alignment horizontal="left" vertical="center"/>
      <protection/>
    </xf>
    <xf numFmtId="4" fontId="10" fillId="0" borderId="10" xfId="54" applyNumberFormat="1" applyFont="1" applyFill="1" applyBorder="1" applyAlignment="1">
      <alignment horizontal="right" vertical="center" wrapText="1"/>
      <protection/>
    </xf>
    <xf numFmtId="4" fontId="4" fillId="0" borderId="10" xfId="54" applyNumberFormat="1" applyFont="1" applyFill="1" applyBorder="1" applyAlignment="1">
      <alignment horizontal="right" vertical="center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4" fontId="4" fillId="35" borderId="10" xfId="54" applyNumberFormat="1" applyFont="1" applyFill="1" applyBorder="1" applyAlignment="1">
      <alignment horizontal="right" vertical="center"/>
      <protection/>
    </xf>
    <xf numFmtId="4" fontId="5" fillId="34" borderId="10" xfId="54" applyNumberFormat="1" applyFont="1" applyFill="1" applyBorder="1" applyAlignment="1">
      <alignment horizontal="right" vertical="center"/>
      <protection/>
    </xf>
    <xf numFmtId="2" fontId="5" fillId="34" borderId="10" xfId="54" applyNumberFormat="1" applyFont="1" applyFill="1" applyBorder="1" applyAlignment="1">
      <alignment horizontal="center" vertical="center"/>
      <protection/>
    </xf>
    <xf numFmtId="0" fontId="5" fillId="34" borderId="10" xfId="54" applyFont="1" applyFill="1" applyBorder="1" applyAlignment="1">
      <alignment horizontal="left" vertical="justify" wrapText="1"/>
      <protection/>
    </xf>
    <xf numFmtId="0" fontId="4" fillId="0" borderId="10" xfId="54" applyFont="1" applyFill="1" applyBorder="1" applyAlignment="1">
      <alignment wrapText="1"/>
      <protection/>
    </xf>
    <xf numFmtId="4" fontId="5" fillId="35" borderId="10" xfId="54" applyNumberFormat="1" applyFont="1" applyFill="1" applyBorder="1" applyAlignment="1">
      <alignment horizontal="right" vertical="center"/>
      <protection/>
    </xf>
    <xf numFmtId="2" fontId="5" fillId="35" borderId="10" xfId="54" applyNumberFormat="1" applyFont="1" applyFill="1" applyBorder="1" applyAlignment="1">
      <alignment horizontal="center" vertical="center"/>
      <protection/>
    </xf>
    <xf numFmtId="4" fontId="4" fillId="33" borderId="10" xfId="54" applyNumberFormat="1" applyFont="1" applyFill="1" applyBorder="1" applyAlignment="1">
      <alignment horizontal="right" vertical="center"/>
      <protection/>
    </xf>
    <xf numFmtId="0" fontId="4" fillId="0" borderId="10" xfId="54" applyFont="1" applyBorder="1" applyAlignment="1">
      <alignment wrapText="1"/>
      <protection/>
    </xf>
    <xf numFmtId="0" fontId="4" fillId="33" borderId="10" xfId="54" applyFont="1" applyFill="1" applyBorder="1" applyAlignment="1">
      <alignment wrapText="1"/>
      <protection/>
    </xf>
    <xf numFmtId="0" fontId="4" fillId="0" borderId="0" xfId="54" applyFont="1" applyFill="1" applyBorder="1">
      <alignment/>
      <protection/>
    </xf>
    <xf numFmtId="2" fontId="4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5" fillId="34" borderId="11" xfId="54" applyFont="1" applyFill="1" applyBorder="1" applyAlignment="1">
      <alignment horizontal="center"/>
      <protection/>
    </xf>
    <xf numFmtId="0" fontId="5" fillId="34" borderId="12" xfId="54" applyFont="1" applyFill="1" applyBorder="1" applyAlignment="1">
      <alignment horizontal="center"/>
      <protection/>
    </xf>
    <xf numFmtId="2" fontId="5" fillId="34" borderId="12" xfId="54" applyNumberFormat="1" applyFont="1" applyFill="1" applyBorder="1" applyAlignment="1">
      <alignment horizontal="center"/>
      <protection/>
    </xf>
    <xf numFmtId="0" fontId="5" fillId="34" borderId="12" xfId="54" applyFont="1" applyFill="1" applyBorder="1" applyAlignment="1">
      <alignment horizontal="center" vertical="justify" wrapText="1"/>
      <protection/>
    </xf>
    <xf numFmtId="0" fontId="5" fillId="34" borderId="13" xfId="54" applyFont="1" applyFill="1" applyBorder="1" applyAlignment="1">
      <alignment horizontal="center" vertical="top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right" vertical="center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54" applyFont="1" applyFill="1">
      <alignment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43" fontId="4" fillId="0" borderId="10" xfId="61" applyNumberFormat="1" applyFont="1" applyFill="1" applyBorder="1" applyAlignment="1">
      <alignment horizontal="right" vertical="center" wrapText="1"/>
    </xf>
    <xf numFmtId="2" fontId="5" fillId="34" borderId="10" xfId="54" applyNumberFormat="1" applyFont="1" applyFill="1" applyBorder="1" applyAlignment="1">
      <alignment horizontal="right" vertical="center"/>
      <protection/>
    </xf>
    <xf numFmtId="43" fontId="4" fillId="0" borderId="10" xfId="72" applyNumberFormat="1" applyFont="1" applyFill="1" applyBorder="1" applyAlignment="1">
      <alignment horizontal="right" vertical="center" wrapText="1"/>
    </xf>
    <xf numFmtId="0" fontId="4" fillId="35" borderId="10" xfId="54" applyFont="1" applyFill="1" applyBorder="1" applyAlignment="1">
      <alignment horizontal="right" vertical="center" wrapText="1"/>
      <protection/>
    </xf>
    <xf numFmtId="43" fontId="10" fillId="0" borderId="10" xfId="61" applyNumberFormat="1" applyFont="1" applyFill="1" applyBorder="1" applyAlignment="1">
      <alignment horizontal="right" vertical="center" wrapText="1"/>
    </xf>
    <xf numFmtId="2" fontId="4" fillId="0" borderId="10" xfId="54" applyNumberFormat="1" applyFont="1" applyFill="1" applyBorder="1" applyAlignment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/>
      <protection/>
    </xf>
    <xf numFmtId="49" fontId="10" fillId="33" borderId="10" xfId="54" applyNumberFormat="1" applyFont="1" applyFill="1" applyBorder="1" applyAlignment="1">
      <alignment horizontal="left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0" fontId="5" fillId="0" borderId="0" xfId="54" applyFont="1" applyFill="1" applyBorder="1" applyAlignment="1">
      <alignment horizontal="left" vertical="justify" wrapText="1"/>
      <protection/>
    </xf>
    <xf numFmtId="2" fontId="5" fillId="0" borderId="0" xfId="54" applyNumberFormat="1" applyFont="1" applyFill="1" applyBorder="1" applyAlignment="1">
      <alignment horizontal="center"/>
      <protection/>
    </xf>
    <xf numFmtId="4" fontId="5" fillId="0" borderId="0" xfId="54" applyNumberFormat="1" applyFont="1" applyFill="1" applyBorder="1" applyAlignment="1">
      <alignment horizontal="center"/>
      <protection/>
    </xf>
    <xf numFmtId="10" fontId="5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35" borderId="10" xfId="54" applyFont="1" applyFill="1" applyBorder="1" applyAlignment="1">
      <alignment horizontal="left" vertical="justify" wrapText="1"/>
      <protection/>
    </xf>
    <xf numFmtId="2" fontId="5" fillId="35" borderId="10" xfId="54" applyNumberFormat="1" applyFont="1" applyFill="1" applyBorder="1" applyAlignment="1">
      <alignment horizontal="center"/>
      <protection/>
    </xf>
    <xf numFmtId="4" fontId="5" fillId="35" borderId="10" xfId="54" applyNumberFormat="1" applyFont="1" applyFill="1" applyBorder="1" applyAlignment="1">
      <alignment horizontal="center"/>
      <protection/>
    </xf>
    <xf numFmtId="43" fontId="4" fillId="0" borderId="10" xfId="74" applyNumberFormat="1" applyFont="1" applyFill="1" applyBorder="1" applyAlignment="1">
      <alignment horizontal="center" vertical="center" wrapText="1"/>
    </xf>
    <xf numFmtId="0" fontId="10" fillId="0" borderId="10" xfId="54" applyNumberFormat="1" applyFont="1" applyBorder="1" applyAlignment="1">
      <alignment horizontal="left" vertical="center"/>
      <protection/>
    </xf>
    <xf numFmtId="0" fontId="4" fillId="33" borderId="10" xfId="54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10" fillId="0" borderId="10" xfId="54" applyNumberFormat="1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4" fillId="35" borderId="10" xfId="54" applyFont="1" applyFill="1" applyBorder="1" applyAlignment="1">
      <alignment vertical="center" wrapText="1"/>
      <protection/>
    </xf>
    <xf numFmtId="43" fontId="10" fillId="0" borderId="10" xfId="74" applyNumberFormat="1" applyFont="1" applyFill="1" applyBorder="1" applyAlignment="1">
      <alignment horizontal="right" vertical="center" wrapText="1"/>
    </xf>
    <xf numFmtId="43" fontId="10" fillId="0" borderId="10" xfId="72" applyNumberFormat="1" applyFont="1" applyFill="1" applyBorder="1" applyAlignment="1">
      <alignment horizontal="right" vertical="center" wrapText="1"/>
    </xf>
    <xf numFmtId="0" fontId="4" fillId="0" borderId="15" xfId="54" applyFont="1" applyFill="1" applyBorder="1" applyAlignment="1">
      <alignment horizontal="left" vertical="center"/>
      <protection/>
    </xf>
    <xf numFmtId="43" fontId="10" fillId="0" borderId="10" xfId="74" applyNumberFormat="1" applyFont="1" applyFill="1" applyBorder="1" applyAlignment="1">
      <alignment vertical="center" wrapText="1"/>
    </xf>
    <xf numFmtId="0" fontId="4" fillId="0" borderId="0" xfId="54" applyFont="1" applyFill="1" applyBorder="1" applyAlignment="1">
      <alignment horizontal="left" vertical="center"/>
      <protection/>
    </xf>
    <xf numFmtId="2" fontId="4" fillId="0" borderId="0" xfId="54" applyNumberFormat="1" applyFont="1" applyFill="1" applyBorder="1" applyAlignment="1">
      <alignment horizontal="left" vertical="center"/>
      <protection/>
    </xf>
    <xf numFmtId="49" fontId="10" fillId="33" borderId="15" xfId="54" applyNumberFormat="1" applyFont="1" applyFill="1" applyBorder="1" applyAlignment="1">
      <alignment horizontal="left" vertical="center"/>
      <protection/>
    </xf>
    <xf numFmtId="49" fontId="5" fillId="34" borderId="24" xfId="54" applyNumberFormat="1" applyFont="1" applyFill="1" applyBorder="1" applyAlignment="1">
      <alignment horizontal="center" vertical="center" wrapText="1"/>
      <protection/>
    </xf>
    <xf numFmtId="0" fontId="5" fillId="34" borderId="25" xfId="54" applyFont="1" applyFill="1" applyBorder="1" applyAlignment="1">
      <alignment horizontal="center" vertical="justify" wrapText="1"/>
      <protection/>
    </xf>
    <xf numFmtId="2" fontId="5" fillId="34" borderId="25" xfId="54" applyNumberFormat="1" applyFont="1" applyFill="1" applyBorder="1" applyAlignment="1">
      <alignment horizontal="center" vertical="center"/>
      <protection/>
    </xf>
    <xf numFmtId="4" fontId="5" fillId="34" borderId="25" xfId="54" applyNumberFormat="1" applyFont="1" applyFill="1" applyBorder="1" applyAlignment="1">
      <alignment horizontal="center" vertical="center"/>
      <protection/>
    </xf>
    <xf numFmtId="4" fontId="5" fillId="34" borderId="25" xfId="54" applyNumberFormat="1" applyFont="1" applyFill="1" applyBorder="1" applyAlignment="1">
      <alignment horizontal="right" vertical="center"/>
      <protection/>
    </xf>
    <xf numFmtId="10" fontId="5" fillId="34" borderId="26" xfId="54" applyNumberFormat="1" applyFont="1" applyFill="1" applyBorder="1" applyAlignment="1">
      <alignment horizontal="right" vertical="center"/>
      <protection/>
    </xf>
    <xf numFmtId="0" fontId="5" fillId="35" borderId="23" xfId="54" applyFont="1" applyFill="1" applyBorder="1" applyAlignment="1">
      <alignment horizontal="center" vertical="center" wrapText="1"/>
      <protection/>
    </xf>
    <xf numFmtId="10" fontId="5" fillId="35" borderId="27" xfId="54" applyNumberFormat="1" applyFont="1" applyFill="1" applyBorder="1" applyAlignment="1">
      <alignment horizontal="center"/>
      <protection/>
    </xf>
    <xf numFmtId="49" fontId="4" fillId="0" borderId="23" xfId="54" applyNumberFormat="1" applyFont="1" applyFill="1" applyBorder="1" applyAlignment="1">
      <alignment horizontal="center" vertical="center" wrapText="1"/>
      <protection/>
    </xf>
    <xf numFmtId="10" fontId="4" fillId="33" borderId="27" xfId="54" applyNumberFormat="1" applyFont="1" applyFill="1" applyBorder="1" applyAlignment="1">
      <alignment horizontal="right" vertical="center"/>
      <protection/>
    </xf>
    <xf numFmtId="0" fontId="5" fillId="34" borderId="23" xfId="54" applyFont="1" applyFill="1" applyBorder="1" applyAlignment="1">
      <alignment horizontal="center" vertical="center" wrapText="1"/>
      <protection/>
    </xf>
    <xf numFmtId="10" fontId="4" fillId="35" borderId="27" xfId="54" applyNumberFormat="1" applyFont="1" applyFill="1" applyBorder="1" applyAlignment="1">
      <alignment horizontal="right" vertical="center"/>
      <protection/>
    </xf>
    <xf numFmtId="10" fontId="4" fillId="0" borderId="27" xfId="54" applyNumberFormat="1" applyFont="1" applyFill="1" applyBorder="1" applyAlignment="1">
      <alignment horizontal="right" vertical="center"/>
      <protection/>
    </xf>
    <xf numFmtId="0" fontId="4" fillId="35" borderId="27" xfId="54" applyFont="1" applyFill="1" applyBorder="1" applyAlignment="1">
      <alignment horizontal="right" vertical="center" wrapText="1"/>
      <protection/>
    </xf>
    <xf numFmtId="4" fontId="4" fillId="35" borderId="27" xfId="54" applyNumberFormat="1" applyFont="1" applyFill="1" applyBorder="1" applyAlignment="1">
      <alignment horizontal="right" vertical="center"/>
      <protection/>
    </xf>
    <xf numFmtId="10" fontId="5" fillId="34" borderId="27" xfId="54" applyNumberFormat="1" applyFont="1" applyFill="1" applyBorder="1" applyAlignment="1">
      <alignment horizontal="right"/>
      <protection/>
    </xf>
    <xf numFmtId="10" fontId="5" fillId="34" borderId="27" xfId="54" applyNumberFormat="1" applyFont="1" applyFill="1" applyBorder="1" applyAlignment="1">
      <alignment/>
      <protection/>
    </xf>
    <xf numFmtId="4" fontId="5" fillId="34" borderId="28" xfId="54" applyNumberFormat="1" applyFont="1" applyFill="1" applyBorder="1" applyAlignment="1">
      <alignment/>
      <protection/>
    </xf>
    <xf numFmtId="10" fontId="5" fillId="34" borderId="29" xfId="54" applyNumberFormat="1" applyFont="1" applyFill="1" applyBorder="1" applyAlignment="1">
      <alignment/>
      <protection/>
    </xf>
    <xf numFmtId="0" fontId="4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left" vertical="center"/>
    </xf>
    <xf numFmtId="4" fontId="4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54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3" fontId="4" fillId="0" borderId="10" xfId="74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justify" wrapText="1"/>
    </xf>
    <xf numFmtId="2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justify" wrapText="1"/>
    </xf>
    <xf numFmtId="2" fontId="5" fillId="34" borderId="25" xfId="0" applyNumberFormat="1" applyFont="1" applyFill="1" applyBorder="1" applyAlignment="1">
      <alignment horizontal="center" vertical="center"/>
    </xf>
    <xf numFmtId="4" fontId="5" fillId="34" borderId="25" xfId="0" applyNumberFormat="1" applyFont="1" applyFill="1" applyBorder="1" applyAlignment="1">
      <alignment horizontal="center" vertical="center"/>
    </xf>
    <xf numFmtId="4" fontId="5" fillId="34" borderId="25" xfId="0" applyNumberFormat="1" applyFont="1" applyFill="1" applyBorder="1" applyAlignment="1">
      <alignment horizontal="right" vertical="center"/>
    </xf>
    <xf numFmtId="10" fontId="5" fillId="34" borderId="26" xfId="0" applyNumberFormat="1" applyFont="1" applyFill="1" applyBorder="1" applyAlignment="1">
      <alignment horizontal="right" vertical="center"/>
    </xf>
    <xf numFmtId="0" fontId="5" fillId="35" borderId="23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vertical="center" wrapText="1"/>
    </xf>
    <xf numFmtId="10" fontId="11" fillId="35" borderId="2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 wrapText="1"/>
    </xf>
    <xf numFmtId="2" fontId="5" fillId="0" borderId="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 vertical="center" wrapText="1"/>
    </xf>
    <xf numFmtId="0" fontId="4" fillId="33" borderId="15" xfId="54" applyFont="1" applyFill="1" applyBorder="1">
      <alignment/>
      <protection/>
    </xf>
    <xf numFmtId="0" fontId="4" fillId="33" borderId="10" xfId="54" applyFont="1" applyFill="1" applyBorder="1" applyAlignment="1">
      <alignment horizontal="left"/>
      <protection/>
    </xf>
    <xf numFmtId="0" fontId="4" fillId="0" borderId="15" xfId="54" applyFont="1" applyFill="1" applyBorder="1">
      <alignment/>
      <protection/>
    </xf>
    <xf numFmtId="0" fontId="4" fillId="0" borderId="10" xfId="54" applyFont="1" applyFill="1" applyBorder="1" applyAlignment="1">
      <alignment horizontal="left"/>
      <protection/>
    </xf>
    <xf numFmtId="4" fontId="5" fillId="34" borderId="10" xfId="0" applyNumberFormat="1" applyFont="1" applyFill="1" applyBorder="1" applyAlignment="1">
      <alignment/>
    </xf>
    <xf numFmtId="10" fontId="5" fillId="34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0" fontId="5" fillId="34" borderId="27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10" fontId="5" fillId="34" borderId="29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justify" wrapText="1"/>
    </xf>
    <xf numFmtId="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171" fontId="10" fillId="0" borderId="0" xfId="73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0" fontId="4" fillId="33" borderId="27" xfId="0" applyNumberFormat="1" applyFont="1" applyFill="1" applyBorder="1" applyAlignment="1">
      <alignment horizontal="right" vertical="center"/>
    </xf>
    <xf numFmtId="197" fontId="10" fillId="35" borderId="10" xfId="0" applyNumberFormat="1" applyFont="1" applyFill="1" applyBorder="1" applyAlignment="1">
      <alignment horizontal="right" vertical="center"/>
    </xf>
    <xf numFmtId="49" fontId="10" fillId="35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3" fontId="4" fillId="33" borderId="10" xfId="74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97" fontId="11" fillId="35" borderId="10" xfId="0" applyNumberFormat="1" applyFont="1" applyFill="1" applyBorder="1" applyAlignment="1">
      <alignment horizontal="right" vertical="center" wrapText="1"/>
    </xf>
    <xf numFmtId="4" fontId="10" fillId="35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97" fontId="11" fillId="35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/>
    </xf>
    <xf numFmtId="2" fontId="4" fillId="0" borderId="10" xfId="61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justify" wrapText="1"/>
    </xf>
    <xf numFmtId="197" fontId="5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97" fontId="4" fillId="0" borderId="10" xfId="61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 wrapText="1"/>
    </xf>
    <xf numFmtId="197" fontId="4" fillId="33" borderId="10" xfId="61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justify" wrapText="1"/>
    </xf>
    <xf numFmtId="2" fontId="4" fillId="33" borderId="10" xfId="61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justify" wrapText="1"/>
    </xf>
    <xf numFmtId="2" fontId="4" fillId="33" borderId="0" xfId="0" applyNumberFormat="1" applyFont="1" applyFill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2" fontId="53" fillId="33" borderId="10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191" fontId="8" fillId="33" borderId="10" xfId="63" applyNumberFormat="1" applyFont="1" applyFill="1" applyBorder="1" applyAlignment="1">
      <alignment horizontal="center" vertical="center" wrapText="1"/>
    </xf>
    <xf numFmtId="0" fontId="12" fillId="0" borderId="0" xfId="54" applyFont="1" applyFill="1" applyAlignment="1">
      <alignment horizontal="center" vertical="justify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>
      <alignment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left" vertical="center" wrapText="1"/>
      <protection/>
    </xf>
    <xf numFmtId="0" fontId="8" fillId="0" borderId="15" xfId="54" applyFont="1" applyFill="1" applyBorder="1" applyAlignment="1">
      <alignment horizontal="left" vertical="center" wrapText="1"/>
      <protection/>
    </xf>
    <xf numFmtId="14" fontId="8" fillId="0" borderId="20" xfId="54" applyNumberFormat="1" applyFont="1" applyFill="1" applyBorder="1" applyAlignment="1">
      <alignment horizontal="left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" fontId="8" fillId="0" borderId="15" xfId="54" applyNumberFormat="1" applyFont="1" applyFill="1" applyBorder="1" applyAlignment="1">
      <alignment horizontal="left" vertical="center" wrapText="1"/>
      <protection/>
    </xf>
    <xf numFmtId="0" fontId="4" fillId="0" borderId="16" xfId="54" applyFont="1" applyFill="1" applyBorder="1" applyAlignment="1">
      <alignment horizontal="center" vertical="top"/>
      <protection/>
    </xf>
    <xf numFmtId="0" fontId="4" fillId="0" borderId="0" xfId="54" applyFont="1" applyFill="1" applyBorder="1" applyAlignment="1">
      <alignment horizontal="center" wrapText="1"/>
      <protection/>
    </xf>
    <xf numFmtId="2" fontId="4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7" xfId="54" applyFont="1" applyFill="1" applyBorder="1" applyAlignment="1">
      <alignment horizontal="center"/>
      <protection/>
    </xf>
    <xf numFmtId="43" fontId="4" fillId="0" borderId="10" xfId="75" applyNumberFormat="1" applyFont="1" applyFill="1" applyBorder="1" applyAlignment="1">
      <alignment horizontal="right" vertical="center" wrapText="1"/>
    </xf>
    <xf numFmtId="0" fontId="4" fillId="0" borderId="10" xfId="54" applyFont="1" applyFill="1" applyBorder="1" applyAlignment="1">
      <alignment horizontal="center" wrapText="1"/>
      <protection/>
    </xf>
    <xf numFmtId="43" fontId="10" fillId="0" borderId="10" xfId="75" applyNumberFormat="1" applyFont="1" applyFill="1" applyBorder="1" applyAlignment="1">
      <alignment vertical="center" wrapText="1"/>
    </xf>
    <xf numFmtId="0" fontId="4" fillId="0" borderId="10" xfId="54" applyFont="1" applyBorder="1" applyAlignment="1">
      <alignment horizontal="center" wrapText="1"/>
      <protection/>
    </xf>
    <xf numFmtId="49" fontId="10" fillId="0" borderId="10" xfId="54" applyNumberFormat="1" applyFont="1" applyBorder="1" applyAlignment="1">
      <alignment horizontal="left" vertical="center"/>
      <protection/>
    </xf>
    <xf numFmtId="43" fontId="10" fillId="0" borderId="10" xfId="75" applyNumberFormat="1" applyFont="1" applyFill="1" applyBorder="1" applyAlignment="1">
      <alignment horizontal="right" vertical="center" wrapText="1"/>
    </xf>
    <xf numFmtId="49" fontId="10" fillId="0" borderId="15" xfId="54" applyNumberFormat="1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vertical="justify" wrapText="1"/>
      <protection/>
    </xf>
    <xf numFmtId="4" fontId="4" fillId="0" borderId="10" xfId="54" applyNumberFormat="1" applyFont="1" applyFill="1" applyBorder="1" applyAlignment="1">
      <alignment horizontal="right"/>
      <protection/>
    </xf>
    <xf numFmtId="0" fontId="0" fillId="0" borderId="0" xfId="54" applyFont="1">
      <alignment/>
      <protection/>
    </xf>
    <xf numFmtId="2" fontId="4" fillId="0" borderId="10" xfId="54" applyNumberFormat="1" applyFont="1" applyFill="1" applyBorder="1" applyAlignment="1">
      <alignment horizontal="center" wrapText="1"/>
      <protection/>
    </xf>
    <xf numFmtId="43" fontId="4" fillId="0" borderId="10" xfId="73" applyNumberFormat="1" applyFont="1" applyFill="1" applyBorder="1" applyAlignment="1">
      <alignment horizontal="right" vertical="center" wrapText="1"/>
    </xf>
    <xf numFmtId="43" fontId="10" fillId="0" borderId="10" xfId="73" applyNumberFormat="1" applyFont="1" applyFill="1" applyBorder="1" applyAlignment="1">
      <alignment horizontal="right" vertical="center" wrapText="1"/>
    </xf>
    <xf numFmtId="49" fontId="5" fillId="34" borderId="10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justify" wrapText="1"/>
      <protection/>
    </xf>
    <xf numFmtId="4" fontId="5" fillId="34" borderId="10" xfId="54" applyNumberFormat="1" applyFont="1" applyFill="1" applyBorder="1" applyAlignment="1">
      <alignment horizontal="center" vertical="center"/>
      <protection/>
    </xf>
    <xf numFmtId="10" fontId="5" fillId="34" borderId="10" xfId="54" applyNumberFormat="1" applyFont="1" applyFill="1" applyBorder="1" applyAlignment="1">
      <alignment horizontal="right" vertical="center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52" fillId="34" borderId="10" xfId="54" applyFont="1" applyFill="1" applyBorder="1" applyAlignment="1">
      <alignment horizontal="center" vertical="center" wrapText="1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0" fontId="53" fillId="0" borderId="10" xfId="54" applyFont="1" applyFill="1" applyBorder="1" applyAlignment="1">
      <alignment vertical="justify" wrapText="1"/>
      <protection/>
    </xf>
    <xf numFmtId="49" fontId="53" fillId="0" borderId="10" xfId="54" applyNumberFormat="1" applyFont="1" applyFill="1" applyBorder="1" applyAlignment="1">
      <alignment horizontal="center" vertical="center" wrapText="1"/>
      <protection/>
    </xf>
    <xf numFmtId="2" fontId="53" fillId="0" borderId="10" xfId="54" applyNumberFormat="1" applyFont="1" applyFill="1" applyBorder="1" applyAlignment="1">
      <alignment horizontal="center" vertical="center"/>
      <protection/>
    </xf>
    <xf numFmtId="0" fontId="53" fillId="0" borderId="10" xfId="54" applyFont="1" applyFill="1" applyBorder="1" applyAlignment="1">
      <alignment horizontal="center" vertical="center"/>
      <protection/>
    </xf>
    <xf numFmtId="4" fontId="53" fillId="0" borderId="10" xfId="54" applyNumberFormat="1" applyFont="1" applyFill="1" applyBorder="1" applyAlignment="1">
      <alignment horizontal="center" vertical="center"/>
      <protection/>
    </xf>
    <xf numFmtId="189" fontId="53" fillId="0" borderId="10" xfId="54" applyNumberFormat="1" applyFont="1" applyFill="1" applyBorder="1" applyAlignment="1">
      <alignment horizontal="center" vertical="center"/>
      <protection/>
    </xf>
    <xf numFmtId="0" fontId="53" fillId="0" borderId="10" xfId="54" applyFont="1" applyFill="1" applyBorder="1" applyAlignment="1">
      <alignment vertical="center" wrapText="1"/>
      <protection/>
    </xf>
    <xf numFmtId="0" fontId="53" fillId="0" borderId="20" xfId="54" applyFont="1" applyFill="1" applyBorder="1" applyAlignment="1">
      <alignment vertical="center" wrapText="1"/>
      <protection/>
    </xf>
    <xf numFmtId="4" fontId="53" fillId="0" borderId="2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vertical="center" wrapText="1"/>
      <protection/>
    </xf>
    <xf numFmtId="10" fontId="5" fillId="34" borderId="10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/>
      <protection/>
    </xf>
    <xf numFmtId="10" fontId="5" fillId="34" borderId="10" xfId="54" applyNumberFormat="1" applyFont="1" applyFill="1" applyBorder="1" applyAlignment="1">
      <alignment/>
      <protection/>
    </xf>
    <xf numFmtId="2" fontId="53" fillId="33" borderId="14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/>
    </xf>
    <xf numFmtId="2" fontId="53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43" fontId="4" fillId="33" borderId="10" xfId="74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wrapText="1"/>
    </xf>
    <xf numFmtId="10" fontId="4" fillId="0" borderId="27" xfId="0" applyNumberFormat="1" applyFont="1" applyFill="1" applyBorder="1" applyAlignment="1">
      <alignment horizontal="right" vertical="center"/>
    </xf>
    <xf numFmtId="0" fontId="5" fillId="34" borderId="14" xfId="54" applyFont="1" applyFill="1" applyBorder="1" applyAlignment="1">
      <alignment horizontal="right" vertical="justify" wrapText="1"/>
      <protection/>
    </xf>
    <xf numFmtId="0" fontId="5" fillId="34" borderId="20" xfId="54" applyFont="1" applyFill="1" applyBorder="1" applyAlignment="1">
      <alignment horizontal="right" vertical="justify" wrapText="1"/>
      <protection/>
    </xf>
    <xf numFmtId="0" fontId="5" fillId="34" borderId="15" xfId="54" applyFont="1" applyFill="1" applyBorder="1" applyAlignment="1">
      <alignment horizontal="right" vertical="justify" wrapText="1"/>
      <protection/>
    </xf>
    <xf numFmtId="4" fontId="4" fillId="0" borderId="30" xfId="54" applyNumberFormat="1" applyFont="1" applyFill="1" applyBorder="1" applyAlignment="1">
      <alignment horizontal="center" vertical="center"/>
      <protection/>
    </xf>
    <xf numFmtId="4" fontId="4" fillId="0" borderId="31" xfId="54" applyNumberFormat="1" applyFont="1" applyFill="1" applyBorder="1" applyAlignment="1">
      <alignment horizontal="center" vertical="center"/>
      <protection/>
    </xf>
    <xf numFmtId="189" fontId="53" fillId="0" borderId="30" xfId="54" applyNumberFormat="1" applyFont="1" applyFill="1" applyBorder="1" applyAlignment="1">
      <alignment horizontal="center" vertical="center"/>
      <protection/>
    </xf>
    <xf numFmtId="189" fontId="53" fillId="0" borderId="31" xfId="54" applyNumberFormat="1" applyFont="1" applyFill="1" applyBorder="1" applyAlignment="1">
      <alignment horizontal="center" vertical="center"/>
      <protection/>
    </xf>
    <xf numFmtId="189" fontId="53" fillId="0" borderId="32" xfId="54" applyNumberFormat="1" applyFont="1" applyFill="1" applyBorder="1" applyAlignment="1">
      <alignment horizontal="center" vertical="center"/>
      <protection/>
    </xf>
    <xf numFmtId="0" fontId="5" fillId="34" borderId="33" xfId="54" applyFont="1" applyFill="1" applyBorder="1" applyAlignment="1">
      <alignment horizontal="right" vertical="justify" wrapText="1"/>
      <protection/>
    </xf>
    <xf numFmtId="0" fontId="8" fillId="0" borderId="14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4" fillId="0" borderId="19" xfId="54" applyNumberFormat="1" applyFont="1" applyFill="1" applyBorder="1" applyAlignment="1">
      <alignment horizontal="center" vertical="center" wrapText="1"/>
      <protection/>
    </xf>
    <xf numFmtId="49" fontId="4" fillId="0" borderId="17" xfId="54" applyNumberFormat="1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left" vertical="center" wrapText="1"/>
      <protection/>
    </xf>
    <xf numFmtId="0" fontId="4" fillId="0" borderId="31" xfId="54" applyFont="1" applyFill="1" applyBorder="1" applyAlignment="1">
      <alignment horizontal="left" vertical="center" wrapText="1"/>
      <protection/>
    </xf>
    <xf numFmtId="0" fontId="4" fillId="0" borderId="32" xfId="54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justify" wrapText="1"/>
    </xf>
    <xf numFmtId="0" fontId="4" fillId="0" borderId="0" xfId="54" applyFont="1" applyFill="1" applyAlignment="1">
      <alignment horizontal="left" vertical="justify" wrapText="1"/>
      <protection/>
    </xf>
    <xf numFmtId="0" fontId="4" fillId="0" borderId="0" xfId="0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/>
    </xf>
    <xf numFmtId="0" fontId="5" fillId="34" borderId="34" xfId="0" applyFont="1" applyFill="1" applyBorder="1" applyAlignment="1">
      <alignment horizontal="right" vertical="justify" wrapText="1"/>
    </xf>
    <xf numFmtId="0" fontId="5" fillId="34" borderId="20" xfId="0" applyFont="1" applyFill="1" applyBorder="1" applyAlignment="1">
      <alignment horizontal="right" vertical="justify" wrapText="1"/>
    </xf>
    <xf numFmtId="0" fontId="5" fillId="34" borderId="15" xfId="0" applyFont="1" applyFill="1" applyBorder="1" applyAlignment="1">
      <alignment horizontal="right" vertical="justify" wrapText="1"/>
    </xf>
    <xf numFmtId="0" fontId="5" fillId="34" borderId="35" xfId="0" applyFont="1" applyFill="1" applyBorder="1" applyAlignment="1">
      <alignment horizontal="right" vertical="justify" wrapText="1"/>
    </xf>
    <xf numFmtId="0" fontId="5" fillId="34" borderId="36" xfId="0" applyFont="1" applyFill="1" applyBorder="1" applyAlignment="1">
      <alignment horizontal="right" vertical="justify" wrapText="1"/>
    </xf>
    <xf numFmtId="0" fontId="5" fillId="34" borderId="37" xfId="0" applyFont="1" applyFill="1" applyBorder="1" applyAlignment="1">
      <alignment horizontal="right" vertical="justify" wrapText="1"/>
    </xf>
    <xf numFmtId="0" fontId="4" fillId="0" borderId="15" xfId="54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horizontal="left" vertical="center"/>
      <protection/>
    </xf>
    <xf numFmtId="0" fontId="5" fillId="34" borderId="34" xfId="54" applyFont="1" applyFill="1" applyBorder="1" applyAlignment="1">
      <alignment horizontal="right" vertical="justify" wrapText="1"/>
      <protection/>
    </xf>
    <xf numFmtId="0" fontId="5" fillId="34" borderId="35" xfId="54" applyFont="1" applyFill="1" applyBorder="1" applyAlignment="1">
      <alignment horizontal="right" vertical="justify" wrapText="1"/>
      <protection/>
    </xf>
    <xf numFmtId="0" fontId="5" fillId="34" borderId="36" xfId="54" applyFont="1" applyFill="1" applyBorder="1" applyAlignment="1">
      <alignment horizontal="right" vertical="justify" wrapText="1"/>
      <protection/>
    </xf>
    <xf numFmtId="0" fontId="5" fillId="34" borderId="37" xfId="54" applyFont="1" applyFill="1" applyBorder="1" applyAlignment="1">
      <alignment horizontal="right" vertical="justify" wrapText="1"/>
      <protection/>
    </xf>
    <xf numFmtId="2" fontId="5" fillId="34" borderId="13" xfId="54" applyNumberFormat="1" applyFont="1" applyFill="1" applyBorder="1" applyAlignment="1">
      <alignment horizontal="center" vertical="top" wrapText="1"/>
      <protection/>
    </xf>
    <xf numFmtId="2" fontId="5" fillId="34" borderId="12" xfId="54" applyNumberFormat="1" applyFont="1" applyFill="1" applyBorder="1" applyAlignment="1">
      <alignment horizontal="center" vertical="top"/>
      <protection/>
    </xf>
    <xf numFmtId="2" fontId="5" fillId="34" borderId="11" xfId="54" applyNumberFormat="1" applyFont="1" applyFill="1" applyBorder="1" applyAlignment="1">
      <alignment horizontal="center" vertical="top"/>
      <protection/>
    </xf>
    <xf numFmtId="0" fontId="8" fillId="0" borderId="14" xfId="54" applyFont="1" applyFill="1" applyBorder="1" applyAlignment="1">
      <alignment horizontal="left" vertical="top" wrapText="1"/>
      <protection/>
    </xf>
    <xf numFmtId="0" fontId="8" fillId="0" borderId="20" xfId="54" applyFont="1" applyFill="1" applyBorder="1" applyAlignment="1">
      <alignment horizontal="left" vertical="top" wrapText="1"/>
      <protection/>
    </xf>
    <xf numFmtId="0" fontId="8" fillId="0" borderId="15" xfId="54" applyFont="1" applyFill="1" applyBorder="1" applyAlignment="1">
      <alignment horizontal="left" vertical="top" wrapText="1"/>
      <protection/>
    </xf>
    <xf numFmtId="2" fontId="8" fillId="0" borderId="20" xfId="54" applyNumberFormat="1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left" vertical="center" wrapText="1"/>
      <protection/>
    </xf>
    <xf numFmtId="0" fontId="8" fillId="0" borderId="20" xfId="54" applyFont="1" applyFill="1" applyBorder="1" applyAlignment="1">
      <alignment horizontal="left" vertical="center" wrapText="1"/>
      <protection/>
    </xf>
    <xf numFmtId="0" fontId="8" fillId="0" borderId="15" xfId="54" applyFont="1" applyFill="1" applyBorder="1" applyAlignment="1">
      <alignment horizontal="left" vertical="center" wrapText="1"/>
      <protection/>
    </xf>
    <xf numFmtId="10" fontId="4" fillId="35" borderId="27" xfId="0" applyNumberFormat="1" applyFont="1" applyFill="1" applyBorder="1" applyAlignment="1">
      <alignment horizontal="right" vertic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Moeda 4" xfId="52"/>
    <cellStyle name="Neutra" xfId="53"/>
    <cellStyle name="Normal 2" xfId="54"/>
    <cellStyle name="Normal 3" xfId="55"/>
    <cellStyle name="Nota" xfId="56"/>
    <cellStyle name="Percent" xfId="57"/>
    <cellStyle name="Porcentagem 2" xfId="58"/>
    <cellStyle name="Saída" xfId="59"/>
    <cellStyle name="Comma [0]" xfId="60"/>
    <cellStyle name="Separador de milhares 2" xfId="61"/>
    <cellStyle name="Separador de milhares 3" xfId="62"/>
    <cellStyle name="Separador de milhares 4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3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" name="Oval 2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" name="Oval 3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5" name="Oval 9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6" name="Oval 10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7" name="Oval 11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8" name="Oval 12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9" name="Oval 190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0" name="Oval 191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1" name="Oval 192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2" name="Oval 193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3" name="Oval 194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4" name="Oval 195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5" name="Oval 196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6" name="Oval 197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7" name="Oval 198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8" name="Oval 199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9" name="Oval 200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0" name="Oval 201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1" name="Oval 202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2" name="Oval 203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3" name="Oval 204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4" name="Oval 205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5" name="Oval 206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6" name="Oval 207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7" name="Oval 208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8" name="Oval 209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9" name="Oval 210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0" name="Oval 211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1" name="Oval 212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2" name="Oval 213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3" name="Oval 214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4" name="Oval 215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5" name="Oval 216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6" name="Oval 217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7" name="Oval 218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8" name="Oval 219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9" name="Oval 220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0" name="Oval 221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1" name="Oval 222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2" name="Oval 223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3" name="Oval 224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4" name="Oval 225"/>
        <xdr:cNvSpPr>
          <a:spLocks/>
        </xdr:cNvSpPr>
      </xdr:nvSpPr>
      <xdr:spPr>
        <a:xfrm>
          <a:off x="2286000" y="1543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" name="Oval 2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" name="Oval 3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5" name="Oval 9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6" name="Oval 10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7" name="Oval 11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8" name="Oval 12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9" name="Oval 190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0" name="Oval 191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1" name="Oval 192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2" name="Oval 193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3" name="Oval 194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4" name="Oval 195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5" name="Oval 196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6" name="Oval 197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7" name="Oval 198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8" name="Oval 199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19" name="Oval 200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0" name="Oval 201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1" name="Oval 202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2" name="Oval 203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3" name="Oval 204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4" name="Oval 205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5" name="Oval 206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6" name="Oval 207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7" name="Oval 208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8" name="Oval 209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29" name="Oval 210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0" name="Oval 211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1" name="Oval 212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2" name="Oval 213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3" name="Oval 214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4" name="Oval 215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5" name="Oval 216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6" name="Oval 217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7" name="Oval 218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8" name="Oval 219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39" name="Oval 220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0" name="Oval 221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1" name="Oval 222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2" name="Oval 223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3" name="Oval 224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0</xdr:rowOff>
    </xdr:from>
    <xdr:to>
      <xdr:col>1</xdr:col>
      <xdr:colOff>1895475</xdr:colOff>
      <xdr:row>6</xdr:row>
      <xdr:rowOff>0</xdr:rowOff>
    </xdr:to>
    <xdr:sp>
      <xdr:nvSpPr>
        <xdr:cNvPr id="44" name="Oval 225"/>
        <xdr:cNvSpPr>
          <a:spLocks/>
        </xdr:cNvSpPr>
      </xdr:nvSpPr>
      <xdr:spPr>
        <a:xfrm>
          <a:off x="2286000" y="15525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" name="Oval 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6" name="Oval 1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7" name="Oval 1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8" name="Oval 1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9" name="Oval 19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0" name="Oval 19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1" name="Oval 19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2" name="Oval 19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3" name="Oval 19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4" name="Oval 19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5" name="Oval 19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6" name="Oval 19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7" name="Oval 19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8" name="Oval 19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9" name="Oval 20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0" name="Oval 20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1" name="Oval 20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2" name="Oval 20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3" name="Oval 20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4" name="Oval 20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5" name="Oval 20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6" name="Oval 20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7" name="Oval 20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8" name="Oval 20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9" name="Oval 21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0" name="Oval 21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1" name="Oval 21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2" name="Oval 21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3" name="Oval 21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4" name="Oval 21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5" name="Oval 21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6" name="Oval 21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7" name="Oval 21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8" name="Oval 21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9" name="Oval 22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0" name="Oval 22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1" name="Oval 22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2" name="Oval 22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3" name="Oval 22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4" name="Oval 22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" name="Oval 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6" name="Oval 1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7" name="Oval 1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8" name="Oval 1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9" name="Oval 19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0" name="Oval 19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1" name="Oval 19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2" name="Oval 19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3" name="Oval 19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4" name="Oval 19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5" name="Oval 19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6" name="Oval 19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7" name="Oval 19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8" name="Oval 19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9" name="Oval 20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0" name="Oval 20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1" name="Oval 20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2" name="Oval 20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3" name="Oval 20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4" name="Oval 20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5" name="Oval 20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6" name="Oval 20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7" name="Oval 20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8" name="Oval 20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9" name="Oval 21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0" name="Oval 21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1" name="Oval 21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2" name="Oval 21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3" name="Oval 21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4" name="Oval 21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5" name="Oval 21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6" name="Oval 21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7" name="Oval 21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8" name="Oval 21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9" name="Oval 22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0" name="Oval 22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1" name="Oval 22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2" name="Oval 22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3" name="Oval 22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4" name="Oval 22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" name="Oval 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6" name="Oval 1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7" name="Oval 1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8" name="Oval 1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9" name="Oval 19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0" name="Oval 19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1" name="Oval 19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2" name="Oval 19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3" name="Oval 19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4" name="Oval 19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5" name="Oval 19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6" name="Oval 19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7" name="Oval 19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8" name="Oval 19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9" name="Oval 20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0" name="Oval 20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1" name="Oval 20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2" name="Oval 20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3" name="Oval 20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4" name="Oval 20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5" name="Oval 20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6" name="Oval 20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7" name="Oval 20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8" name="Oval 20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9" name="Oval 21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0" name="Oval 21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1" name="Oval 21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2" name="Oval 21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3" name="Oval 21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4" name="Oval 21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5" name="Oval 21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6" name="Oval 21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7" name="Oval 21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8" name="Oval 21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9" name="Oval 22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0" name="Oval 22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1" name="Oval 22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2" name="Oval 22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3" name="Oval 22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4" name="Oval 22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" name="Oval 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6" name="Oval 1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7" name="Oval 1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8" name="Oval 1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9" name="Oval 19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0" name="Oval 19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1" name="Oval 19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2" name="Oval 19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3" name="Oval 19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4" name="Oval 19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5" name="Oval 19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6" name="Oval 19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7" name="Oval 19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8" name="Oval 19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9" name="Oval 20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0" name="Oval 20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1" name="Oval 20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2" name="Oval 20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3" name="Oval 20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4" name="Oval 20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5" name="Oval 20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6" name="Oval 20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7" name="Oval 20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8" name="Oval 20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9" name="Oval 21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0" name="Oval 21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1" name="Oval 21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2" name="Oval 21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3" name="Oval 21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4" name="Oval 21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5" name="Oval 216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6" name="Oval 217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7" name="Oval 218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8" name="Oval 219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9" name="Oval 220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0" name="Oval 221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1" name="Oval 222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2" name="Oval 223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3" name="Oval 224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4" name="Oval 225"/>
        <xdr:cNvSpPr>
          <a:spLocks/>
        </xdr:cNvSpPr>
      </xdr:nvSpPr>
      <xdr:spPr>
        <a:xfrm>
          <a:off x="2286000" y="1581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G5%20arquivos\Arq%20&amp;%20Eng\2014\IF-GOIANO\URUTA&#205;\HOSPITAL%20VETERIN&#193;RIO\PROJETOS%20G5\RELA&#199;&#195;O%20DE%20MATERIAL-EL&#201;T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G5%20arquivos\back-up\Arq%20&amp;%20Eng\2014\UFG\CERCOMP%20JATA&#205;\EL&#201;TRICO\EL&#201;TRICO-RELA&#199;&#195;O%20DE%20MATERIAL-CERCOMP%20JATA&#2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G5%20arquivos\back-up\Arq%20&amp;%20Eng\2015\UFG\CIDADE%20OCIDENTAL\REVIS&#195;O-CIDADE%20OCIDENTAL\MEMORIAIS-MATERIAIS\RM-ELE-CIDADE%20OCIDEN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G5%20arquivos\back-up\Arq%20&amp;%20Eng\2016\IFG\&#193;GUAS%20LINDAS\PROJETO%20EL&#201;TRICO\BLOCO%20SALA%20DE%20AULA\EL&#201;TRICO-RELA&#199;&#195;O%20DE%20MATERIAL-BLOCO%20SALA%20DE%20AULA-AGUAS%20LIN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-ILUMINAÇÃO"/>
      <sheetName val="BLOCO 1"/>
      <sheetName val="BLOCO 2"/>
      <sheetName val="BLOCO 3"/>
      <sheetName val="BLOCO 4"/>
      <sheetName val="BLOCO 5"/>
      <sheetName val="BLOCO 6"/>
      <sheetName val="BLOCO 7"/>
      <sheetName val="BLOCO 8"/>
      <sheetName val="BLOCO 9"/>
      <sheetName val="BLOCO 10"/>
      <sheetName val="BLOCO 11"/>
      <sheetName val="BLOCO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LANTAÇÃO"/>
      <sheetName val="CERCO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DE"/>
      <sheetName val="IMPLANTAÇÃO "/>
      <sheetName val="CIDADE OCIDENTAL-TERRÉO"/>
      <sheetName val="CIDADE OCIDENTAL-1 PAV"/>
      <sheetName val="RM-AR CONDICIONAD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ÉRREO"/>
      <sheetName val="SUPERIOR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workbookViewId="0" topLeftCell="A1">
      <selection activeCell="E39" sqref="E39"/>
    </sheetView>
  </sheetViews>
  <sheetFormatPr defaultColWidth="9.140625" defaultRowHeight="12.75"/>
  <cols>
    <col min="1" max="1" width="5.8515625" style="10" customWidth="1"/>
    <col min="2" max="2" width="80.421875" style="9" customWidth="1"/>
    <col min="3" max="3" width="10.28125" style="8" customWidth="1"/>
    <col min="4" max="4" width="4.421875" style="7" customWidth="1"/>
    <col min="5" max="5" width="8.57421875" style="7" customWidth="1"/>
    <col min="6" max="6" width="10.00390625" style="7" bestFit="1" customWidth="1"/>
    <col min="7" max="7" width="12.57421875" style="7" customWidth="1"/>
    <col min="8" max="8" width="10.8515625" style="7" customWidth="1"/>
    <col min="9" max="9" width="13.140625" style="7" customWidth="1"/>
    <col min="10" max="10" width="15.00390625" style="7" bestFit="1" customWidth="1"/>
    <col min="11" max="11" width="10.57421875" style="7" customWidth="1"/>
    <col min="12" max="16384" width="9.140625" style="7" customWidth="1"/>
  </cols>
  <sheetData>
    <row r="1" spans="1:11" ht="31.5">
      <c r="A1" s="63"/>
      <c r="B1" s="64" t="s">
        <v>161</v>
      </c>
      <c r="C1" s="287" t="s">
        <v>162</v>
      </c>
      <c r="D1" s="288"/>
      <c r="E1" s="288"/>
      <c r="F1" s="288"/>
      <c r="G1" s="288"/>
      <c r="H1" s="288"/>
      <c r="I1" s="289"/>
      <c r="J1" s="65"/>
      <c r="K1" s="65"/>
    </row>
    <row r="2" spans="1:11" ht="24" customHeight="1">
      <c r="A2" s="62"/>
      <c r="B2" s="66"/>
      <c r="C2" s="287" t="s">
        <v>163</v>
      </c>
      <c r="D2" s="288"/>
      <c r="E2" s="288"/>
      <c r="F2" s="288"/>
      <c r="G2" s="288"/>
      <c r="H2" s="288"/>
      <c r="I2" s="289"/>
      <c r="J2" s="65"/>
      <c r="K2" s="65"/>
    </row>
    <row r="3" spans="1:11" ht="21">
      <c r="A3" s="62"/>
      <c r="B3" s="66"/>
      <c r="C3" s="55" t="s">
        <v>0</v>
      </c>
      <c r="D3" s="290"/>
      <c r="E3" s="290"/>
      <c r="F3" s="56" t="s">
        <v>2</v>
      </c>
      <c r="G3" s="55" t="s">
        <v>25</v>
      </c>
      <c r="H3" s="67"/>
      <c r="I3" s="56"/>
      <c r="J3" s="65"/>
      <c r="K3" s="65"/>
    </row>
    <row r="4" spans="1:11" ht="21">
      <c r="A4" s="68"/>
      <c r="B4" s="69"/>
      <c r="C4" s="291" t="s">
        <v>20</v>
      </c>
      <c r="D4" s="292"/>
      <c r="E4" s="292"/>
      <c r="F4" s="70"/>
      <c r="G4" s="291" t="s">
        <v>35</v>
      </c>
      <c r="H4" s="292"/>
      <c r="I4" s="293"/>
      <c r="J4" s="65"/>
      <c r="K4" s="1"/>
    </row>
    <row r="5" spans="1:9" s="11" customFormat="1" ht="12" customHeight="1" thickBot="1">
      <c r="A5" s="229"/>
      <c r="B5" s="230"/>
      <c r="C5" s="231"/>
      <c r="D5" s="232"/>
      <c r="E5" s="232"/>
      <c r="F5" s="232"/>
      <c r="G5" s="232"/>
      <c r="H5" s="232"/>
      <c r="I5" s="233"/>
    </row>
    <row r="6" spans="1:9" s="34" customFormat="1" ht="12" customHeight="1" thickBot="1">
      <c r="A6" s="39" t="s">
        <v>5</v>
      </c>
      <c r="B6" s="38" t="s">
        <v>6</v>
      </c>
      <c r="C6" s="37" t="s">
        <v>7</v>
      </c>
      <c r="D6" s="36" t="s">
        <v>8</v>
      </c>
      <c r="E6" s="36" t="s">
        <v>9</v>
      </c>
      <c r="F6" s="36" t="s">
        <v>10</v>
      </c>
      <c r="G6" s="36" t="s">
        <v>11</v>
      </c>
      <c r="H6" s="36" t="s">
        <v>12</v>
      </c>
      <c r="I6" s="35" t="s">
        <v>13</v>
      </c>
    </row>
    <row r="7" spans="1:11" s="32" customFormat="1" ht="12" customHeight="1">
      <c r="A7" s="247"/>
      <c r="B7" s="248" t="s">
        <v>23</v>
      </c>
      <c r="C7" s="24" t="s">
        <v>15</v>
      </c>
      <c r="D7" s="24"/>
      <c r="E7" s="249"/>
      <c r="F7" s="249"/>
      <c r="G7" s="249"/>
      <c r="H7" s="23">
        <f>H49</f>
        <v>87191.60599999997</v>
      </c>
      <c r="I7" s="250">
        <f>I49</f>
        <v>1.0000000000000004</v>
      </c>
      <c r="K7" s="33"/>
    </row>
    <row r="8" spans="1:11" s="11" customFormat="1" ht="12.75" customHeight="1">
      <c r="A8" s="251">
        <v>1</v>
      </c>
      <c r="B8" s="251" t="s">
        <v>264</v>
      </c>
      <c r="C8" s="251"/>
      <c r="D8" s="251"/>
      <c r="E8" s="251"/>
      <c r="F8" s="251"/>
      <c r="G8" s="251"/>
      <c r="H8" s="251"/>
      <c r="I8" s="251"/>
      <c r="K8" s="12"/>
    </row>
    <row r="9" spans="1:11" s="11" customFormat="1" ht="12.75" customHeight="1">
      <c r="A9" s="294" t="s">
        <v>37</v>
      </c>
      <c r="B9" s="296" t="s">
        <v>266</v>
      </c>
      <c r="C9" s="294" t="s">
        <v>265</v>
      </c>
      <c r="D9" s="294" t="s">
        <v>267</v>
      </c>
      <c r="E9" s="281">
        <v>0</v>
      </c>
      <c r="F9" s="281">
        <v>72000</v>
      </c>
      <c r="G9" s="281">
        <f>E9+F9</f>
        <v>72000</v>
      </c>
      <c r="H9" s="281">
        <f>G9*C9</f>
        <v>72000</v>
      </c>
      <c r="I9" s="283">
        <f>H9/$H$7</f>
        <v>0.8257675629922452</v>
      </c>
      <c r="K9" s="12"/>
    </row>
    <row r="10" spans="1:11" s="11" customFormat="1" ht="12.75" customHeight="1">
      <c r="A10" s="295"/>
      <c r="B10" s="297"/>
      <c r="C10" s="295"/>
      <c r="D10" s="295"/>
      <c r="E10" s="282"/>
      <c r="F10" s="282"/>
      <c r="G10" s="282"/>
      <c r="H10" s="282"/>
      <c r="I10" s="284"/>
      <c r="K10" s="12"/>
    </row>
    <row r="11" spans="1:11" s="11" customFormat="1" ht="12.75" customHeight="1">
      <c r="A11" s="295"/>
      <c r="B11" s="297"/>
      <c r="C11" s="295"/>
      <c r="D11" s="295"/>
      <c r="E11" s="282"/>
      <c r="F11" s="282"/>
      <c r="G11" s="282"/>
      <c r="H11" s="282"/>
      <c r="I11" s="284"/>
      <c r="K11" s="12"/>
    </row>
    <row r="12" spans="1:11" s="11" customFormat="1" ht="12.75" customHeight="1">
      <c r="A12" s="295"/>
      <c r="B12" s="298"/>
      <c r="C12" s="295"/>
      <c r="D12" s="295"/>
      <c r="E12" s="282"/>
      <c r="F12" s="282"/>
      <c r="G12" s="282"/>
      <c r="H12" s="282"/>
      <c r="I12" s="285"/>
      <c r="K12" s="12"/>
    </row>
    <row r="13" spans="1:11" s="11" customFormat="1" ht="12.75" customHeight="1">
      <c r="A13" s="252">
        <v>2</v>
      </c>
      <c r="B13" s="252" t="s">
        <v>268</v>
      </c>
      <c r="C13" s="252"/>
      <c r="D13" s="252"/>
      <c r="E13" s="252"/>
      <c r="F13" s="252"/>
      <c r="G13" s="252"/>
      <c r="H13" s="252"/>
      <c r="I13" s="252"/>
      <c r="K13" s="12"/>
    </row>
    <row r="14" spans="1:9" ht="22.5">
      <c r="A14" s="253"/>
      <c r="B14" s="254" t="s">
        <v>232</v>
      </c>
      <c r="C14" s="253"/>
      <c r="D14" s="253"/>
      <c r="E14" s="253"/>
      <c r="F14" s="253"/>
      <c r="G14" s="253"/>
      <c r="H14" s="253"/>
      <c r="I14" s="253"/>
    </row>
    <row r="15" spans="1:9" ht="12.75">
      <c r="A15" s="255" t="s">
        <v>39</v>
      </c>
      <c r="B15" s="260" t="s">
        <v>236</v>
      </c>
      <c r="C15" s="256">
        <v>2</v>
      </c>
      <c r="D15" s="257" t="s">
        <v>1</v>
      </c>
      <c r="E15" s="258">
        <v>23.4</v>
      </c>
      <c r="F15" s="258">
        <v>78</v>
      </c>
      <c r="G15" s="258">
        <f>F15+E15</f>
        <v>101.4</v>
      </c>
      <c r="H15" s="258">
        <f>G15*C15</f>
        <v>202.8</v>
      </c>
      <c r="I15" s="259">
        <f>H15/$H$7</f>
        <v>0.0023259119690948243</v>
      </c>
    </row>
    <row r="16" spans="1:9" ht="12.75">
      <c r="A16" s="255" t="s">
        <v>109</v>
      </c>
      <c r="B16" s="260" t="s">
        <v>269</v>
      </c>
      <c r="C16" s="256">
        <v>10</v>
      </c>
      <c r="D16" s="257" t="s">
        <v>234</v>
      </c>
      <c r="E16" s="258">
        <f>F16*0.3</f>
        <v>2.37</v>
      </c>
      <c r="F16" s="258">
        <v>7.9</v>
      </c>
      <c r="G16" s="258">
        <f>F16+E16</f>
        <v>10.27</v>
      </c>
      <c r="H16" s="258">
        <f>G16*C16</f>
        <v>102.69999999999999</v>
      </c>
      <c r="I16" s="259">
        <f>H16/$H$7</f>
        <v>0.001177865676656994</v>
      </c>
    </row>
    <row r="17" spans="1:9" ht="12.75">
      <c r="A17" s="255" t="s">
        <v>138</v>
      </c>
      <c r="B17" s="254" t="s">
        <v>270</v>
      </c>
      <c r="C17" s="256">
        <v>60</v>
      </c>
      <c r="D17" s="257" t="s">
        <v>1</v>
      </c>
      <c r="E17" s="258">
        <f>F17*0.3</f>
        <v>20.099999999999998</v>
      </c>
      <c r="F17" s="258">
        <v>67</v>
      </c>
      <c r="G17" s="258">
        <f>F17+E17</f>
        <v>87.1</v>
      </c>
      <c r="H17" s="258">
        <f>G17*C17</f>
        <v>5226</v>
      </c>
      <c r="I17" s="259">
        <f>H17/$H$7</f>
        <v>0.059936962280520464</v>
      </c>
    </row>
    <row r="18" spans="1:9" ht="12.75">
      <c r="A18" s="255" t="s">
        <v>40</v>
      </c>
      <c r="B18" s="260" t="s">
        <v>271</v>
      </c>
      <c r="C18" s="256">
        <v>9</v>
      </c>
      <c r="D18" s="257" t="s">
        <v>234</v>
      </c>
      <c r="E18" s="258">
        <f>0.4*F18</f>
        <v>11.56</v>
      </c>
      <c r="F18" s="258">
        <v>28.9</v>
      </c>
      <c r="G18" s="258">
        <f>F18+E18</f>
        <v>40.46</v>
      </c>
      <c r="H18" s="258">
        <f>G18*C18</f>
        <v>364.14</v>
      </c>
      <c r="I18" s="259">
        <f>H18/$H$7</f>
        <v>0.0041763194498332795</v>
      </c>
    </row>
    <row r="19" spans="1:9" ht="12.75">
      <c r="A19" s="255" t="s">
        <v>41</v>
      </c>
      <c r="B19" s="261" t="s">
        <v>237</v>
      </c>
      <c r="C19" s="256">
        <v>2</v>
      </c>
      <c r="D19" s="257" t="s">
        <v>234</v>
      </c>
      <c r="E19" s="258">
        <f>0.4*F19</f>
        <v>10</v>
      </c>
      <c r="F19" s="262">
        <v>25</v>
      </c>
      <c r="G19" s="258">
        <f>F19+E19</f>
        <v>35</v>
      </c>
      <c r="H19" s="258">
        <f>G19*C19</f>
        <v>70</v>
      </c>
      <c r="I19" s="259">
        <f>H19/$H$7</f>
        <v>0.0008028295751313495</v>
      </c>
    </row>
    <row r="20" spans="1:11" s="11" customFormat="1" ht="12.75" customHeight="1">
      <c r="A20" s="251">
        <v>3</v>
      </c>
      <c r="B20" s="251" t="s">
        <v>272</v>
      </c>
      <c r="C20" s="251"/>
      <c r="D20" s="251"/>
      <c r="E20" s="251"/>
      <c r="F20" s="251"/>
      <c r="G20" s="251"/>
      <c r="H20" s="251"/>
      <c r="I20" s="251"/>
      <c r="K20" s="12"/>
    </row>
    <row r="21" spans="1:11" s="11" customFormat="1" ht="12.75" customHeight="1">
      <c r="A21" s="263"/>
      <c r="B21" s="241" t="s">
        <v>232</v>
      </c>
      <c r="C21" s="263"/>
      <c r="D21" s="263"/>
      <c r="E21" s="263"/>
      <c r="F21" s="263"/>
      <c r="G21" s="263"/>
      <c r="H21" s="263"/>
      <c r="I21" s="263"/>
      <c r="K21" s="12"/>
    </row>
    <row r="22" spans="1:11" s="11" customFormat="1" ht="12.75" customHeight="1">
      <c r="A22" s="109" t="s">
        <v>42</v>
      </c>
      <c r="B22" s="241" t="s">
        <v>273</v>
      </c>
      <c r="C22" s="264">
        <v>3</v>
      </c>
      <c r="D22" s="265" t="s">
        <v>234</v>
      </c>
      <c r="E22" s="266">
        <v>46</v>
      </c>
      <c r="F22" s="266">
        <v>29.87</v>
      </c>
      <c r="G22" s="266">
        <f>F22+E22</f>
        <v>75.87</v>
      </c>
      <c r="H22" s="266">
        <f aca="true" t="shared" si="0" ref="H22:H48">G22*C22</f>
        <v>227.61</v>
      </c>
      <c r="I22" s="259">
        <f>H22/$H$7</f>
        <v>0.0026104577085092353</v>
      </c>
      <c r="K22" s="12"/>
    </row>
    <row r="23" spans="1:11" s="11" customFormat="1" ht="12.75" customHeight="1">
      <c r="A23" s="109" t="s">
        <v>43</v>
      </c>
      <c r="B23" s="267" t="s">
        <v>274</v>
      </c>
      <c r="C23" s="264">
        <v>3</v>
      </c>
      <c r="D23" s="265" t="s">
        <v>234</v>
      </c>
      <c r="E23" s="266">
        <f>0.4*F23</f>
        <v>5</v>
      </c>
      <c r="F23" s="266">
        <v>12.5</v>
      </c>
      <c r="G23" s="266">
        <f>F23+E23</f>
        <v>17.5</v>
      </c>
      <c r="H23" s="266">
        <f t="shared" si="0"/>
        <v>52.5</v>
      </c>
      <c r="I23" s="259">
        <f aca="true" t="shared" si="1" ref="I23:I48">H23/$H$7</f>
        <v>0.0006021221813485121</v>
      </c>
      <c r="K23" s="12"/>
    </row>
    <row r="24" spans="1:11" s="11" customFormat="1" ht="12.75" customHeight="1">
      <c r="A24" s="109" t="s">
        <v>107</v>
      </c>
      <c r="B24" s="267" t="s">
        <v>275</v>
      </c>
      <c r="C24" s="264">
        <v>24</v>
      </c>
      <c r="D24" s="265" t="s">
        <v>234</v>
      </c>
      <c r="E24" s="266">
        <f>0.4*F24</f>
        <v>1.8840000000000001</v>
      </c>
      <c r="F24" s="266">
        <v>4.71</v>
      </c>
      <c r="G24" s="266">
        <f>F24+E24</f>
        <v>6.594</v>
      </c>
      <c r="H24" s="266">
        <f t="shared" si="0"/>
        <v>158.256</v>
      </c>
      <c r="I24" s="259">
        <f t="shared" si="1"/>
        <v>0.0018150371034569548</v>
      </c>
      <c r="K24" s="12"/>
    </row>
    <row r="25" spans="1:11" s="11" customFormat="1" ht="12.75" customHeight="1">
      <c r="A25" s="109" t="s">
        <v>44</v>
      </c>
      <c r="B25" s="241" t="s">
        <v>278</v>
      </c>
      <c r="C25" s="264">
        <v>5</v>
      </c>
      <c r="D25" s="265" t="s">
        <v>234</v>
      </c>
      <c r="E25" s="266">
        <f>0.4*F25</f>
        <v>7.68</v>
      </c>
      <c r="F25" s="266">
        <v>19.2</v>
      </c>
      <c r="G25" s="266">
        <f aca="true" t="shared" si="2" ref="G25:G48">F25+E25</f>
        <v>26.88</v>
      </c>
      <c r="H25" s="266">
        <f t="shared" si="0"/>
        <v>134.4</v>
      </c>
      <c r="I25" s="259">
        <f t="shared" si="1"/>
        <v>0.001541432784252191</v>
      </c>
      <c r="K25" s="12"/>
    </row>
    <row r="26" spans="1:11" s="11" customFormat="1" ht="12.75" customHeight="1">
      <c r="A26" s="109" t="s">
        <v>108</v>
      </c>
      <c r="B26" s="241" t="s">
        <v>282</v>
      </c>
      <c r="C26" s="264">
        <v>3</v>
      </c>
      <c r="D26" s="265" t="s">
        <v>234</v>
      </c>
      <c r="E26" s="266">
        <f>0.4*F26</f>
        <v>2.72</v>
      </c>
      <c r="F26" s="266">
        <v>6.8</v>
      </c>
      <c r="G26" s="266">
        <f t="shared" si="2"/>
        <v>9.52</v>
      </c>
      <c r="H26" s="266">
        <f t="shared" si="0"/>
        <v>28.56</v>
      </c>
      <c r="I26" s="259">
        <f t="shared" si="1"/>
        <v>0.0003275544666535906</v>
      </c>
      <c r="K26" s="12"/>
    </row>
    <row r="27" spans="1:11" s="11" customFormat="1" ht="12.75" customHeight="1">
      <c r="A27" s="109" t="s">
        <v>125</v>
      </c>
      <c r="B27" s="241" t="s">
        <v>286</v>
      </c>
      <c r="C27" s="264">
        <v>3</v>
      </c>
      <c r="D27" s="265" t="s">
        <v>234</v>
      </c>
      <c r="E27" s="266">
        <f aca="true" t="shared" si="3" ref="E27:E47">0.4*F27</f>
        <v>4.44</v>
      </c>
      <c r="F27" s="266">
        <v>11.1</v>
      </c>
      <c r="G27" s="266">
        <f t="shared" si="2"/>
        <v>15.54</v>
      </c>
      <c r="H27" s="266">
        <f t="shared" si="0"/>
        <v>46.62</v>
      </c>
      <c r="I27" s="259">
        <f t="shared" si="1"/>
        <v>0.0005346844970374788</v>
      </c>
      <c r="K27" s="12"/>
    </row>
    <row r="28" spans="1:11" s="11" customFormat="1" ht="12.75" customHeight="1">
      <c r="A28" s="109" t="s">
        <v>126</v>
      </c>
      <c r="B28" s="241" t="s">
        <v>288</v>
      </c>
      <c r="C28" s="264">
        <v>90</v>
      </c>
      <c r="D28" s="265" t="s">
        <v>1</v>
      </c>
      <c r="E28" s="266">
        <f t="shared" si="3"/>
        <v>16.8</v>
      </c>
      <c r="F28" s="266">
        <v>42</v>
      </c>
      <c r="G28" s="266">
        <f t="shared" si="2"/>
        <v>58.8</v>
      </c>
      <c r="H28" s="266">
        <f t="shared" si="0"/>
        <v>5292</v>
      </c>
      <c r="I28" s="259">
        <f t="shared" si="1"/>
        <v>0.06069391587993002</v>
      </c>
      <c r="K28" s="12"/>
    </row>
    <row r="29" spans="1:11" s="11" customFormat="1" ht="12.75" customHeight="1">
      <c r="A29" s="109" t="s">
        <v>117</v>
      </c>
      <c r="B29" s="241" t="s">
        <v>290</v>
      </c>
      <c r="C29" s="264">
        <v>35</v>
      </c>
      <c r="D29" s="265" t="s">
        <v>1</v>
      </c>
      <c r="E29" s="266">
        <f>0.4*F29</f>
        <v>5.800000000000001</v>
      </c>
      <c r="F29" s="266">
        <v>14.5</v>
      </c>
      <c r="G29" s="266">
        <f>F29+E29</f>
        <v>20.3</v>
      </c>
      <c r="H29" s="266">
        <f>G29*C29</f>
        <v>710.5</v>
      </c>
      <c r="I29" s="259">
        <f t="shared" si="1"/>
        <v>0.008148720187583197</v>
      </c>
      <c r="K29" s="12"/>
    </row>
    <row r="30" spans="1:11" s="11" customFormat="1" ht="12.75" customHeight="1">
      <c r="A30" s="109" t="s">
        <v>119</v>
      </c>
      <c r="B30" s="241" t="s">
        <v>292</v>
      </c>
      <c r="C30" s="264">
        <v>35</v>
      </c>
      <c r="D30" s="265" t="s">
        <v>1</v>
      </c>
      <c r="E30" s="266">
        <f t="shared" si="3"/>
        <v>3.8600000000000003</v>
      </c>
      <c r="F30" s="266">
        <v>9.65</v>
      </c>
      <c r="G30" s="266">
        <f t="shared" si="2"/>
        <v>13.510000000000002</v>
      </c>
      <c r="H30" s="266">
        <f t="shared" si="0"/>
        <v>472.8500000000001</v>
      </c>
      <c r="I30" s="259">
        <f t="shared" si="1"/>
        <v>0.005423113780012267</v>
      </c>
      <c r="K30" s="12"/>
    </row>
    <row r="31" spans="1:11" s="11" customFormat="1" ht="33.75">
      <c r="A31" s="109" t="s">
        <v>258</v>
      </c>
      <c r="B31" s="267" t="s">
        <v>295</v>
      </c>
      <c r="C31" s="264">
        <v>3</v>
      </c>
      <c r="D31" s="265" t="s">
        <v>234</v>
      </c>
      <c r="E31" s="266">
        <f t="shared" si="3"/>
        <v>76.04</v>
      </c>
      <c r="F31" s="266">
        <v>190.1</v>
      </c>
      <c r="G31" s="266">
        <f t="shared" si="2"/>
        <v>266.14</v>
      </c>
      <c r="H31" s="266">
        <f t="shared" si="0"/>
        <v>798.42</v>
      </c>
      <c r="I31" s="259">
        <f t="shared" si="1"/>
        <v>0.009157074133948171</v>
      </c>
      <c r="K31" s="12"/>
    </row>
    <row r="32" spans="1:11" s="11" customFormat="1" ht="12.75" customHeight="1">
      <c r="A32" s="109" t="s">
        <v>260</v>
      </c>
      <c r="B32" s="241" t="s">
        <v>298</v>
      </c>
      <c r="C32" s="264">
        <v>9</v>
      </c>
      <c r="D32" s="265" t="s">
        <v>234</v>
      </c>
      <c r="E32" s="266">
        <f t="shared" si="3"/>
        <v>0.8800000000000001</v>
      </c>
      <c r="F32" s="266">
        <v>2.2</v>
      </c>
      <c r="G32" s="266">
        <f t="shared" si="2"/>
        <v>3.08</v>
      </c>
      <c r="H32" s="266">
        <f t="shared" si="0"/>
        <v>27.72</v>
      </c>
      <c r="I32" s="259">
        <f t="shared" si="1"/>
        <v>0.0003179205117520144</v>
      </c>
      <c r="K32" s="12"/>
    </row>
    <row r="33" spans="1:11" s="11" customFormat="1" ht="12.75" customHeight="1">
      <c r="A33" s="109" t="s">
        <v>263</v>
      </c>
      <c r="B33" s="241" t="s">
        <v>299</v>
      </c>
      <c r="C33" s="264">
        <v>9</v>
      </c>
      <c r="D33" s="265" t="s">
        <v>234</v>
      </c>
      <c r="E33" s="266">
        <f t="shared" si="3"/>
        <v>1.04</v>
      </c>
      <c r="F33" s="266">
        <v>2.6</v>
      </c>
      <c r="G33" s="266">
        <f t="shared" si="2"/>
        <v>3.64</v>
      </c>
      <c r="H33" s="266">
        <f t="shared" si="0"/>
        <v>32.76</v>
      </c>
      <c r="I33" s="259">
        <f t="shared" si="1"/>
        <v>0.00037572424116147157</v>
      </c>
      <c r="K33" s="12"/>
    </row>
    <row r="34" spans="1:11" s="11" customFormat="1" ht="12.75" customHeight="1">
      <c r="A34" s="109" t="s">
        <v>276</v>
      </c>
      <c r="B34" s="254" t="s">
        <v>235</v>
      </c>
      <c r="C34" s="256">
        <v>1</v>
      </c>
      <c r="D34" s="257" t="s">
        <v>234</v>
      </c>
      <c r="E34" s="258">
        <v>5</v>
      </c>
      <c r="F34" s="258">
        <v>20</v>
      </c>
      <c r="G34" s="258">
        <f t="shared" si="2"/>
        <v>25</v>
      </c>
      <c r="H34" s="258">
        <f t="shared" si="0"/>
        <v>25</v>
      </c>
      <c r="I34" s="259">
        <f t="shared" si="1"/>
        <v>0.00028672484826119623</v>
      </c>
      <c r="K34" s="12"/>
    </row>
    <row r="35" spans="1:11" s="11" customFormat="1" ht="12.75" customHeight="1">
      <c r="A35" s="109" t="s">
        <v>277</v>
      </c>
      <c r="B35" s="241" t="s">
        <v>300</v>
      </c>
      <c r="C35" s="264">
        <v>5</v>
      </c>
      <c r="D35" s="265" t="s">
        <v>180</v>
      </c>
      <c r="E35" s="266">
        <f t="shared" si="3"/>
        <v>2.8000000000000003</v>
      </c>
      <c r="F35" s="266">
        <v>7</v>
      </c>
      <c r="G35" s="266">
        <f t="shared" si="2"/>
        <v>9.8</v>
      </c>
      <c r="H35" s="266">
        <f t="shared" si="0"/>
        <v>49</v>
      </c>
      <c r="I35" s="259">
        <f t="shared" si="1"/>
        <v>0.0005619807025919446</v>
      </c>
      <c r="K35" s="12"/>
    </row>
    <row r="36" spans="1:11" s="11" customFormat="1" ht="12.75" customHeight="1">
      <c r="A36" s="109" t="s">
        <v>279</v>
      </c>
      <c r="B36" s="267" t="s">
        <v>301</v>
      </c>
      <c r="C36" s="264">
        <v>3</v>
      </c>
      <c r="D36" s="265" t="s">
        <v>234</v>
      </c>
      <c r="E36" s="266">
        <f t="shared" si="3"/>
        <v>49.6</v>
      </c>
      <c r="F36" s="266">
        <v>124</v>
      </c>
      <c r="G36" s="266">
        <f t="shared" si="2"/>
        <v>173.6</v>
      </c>
      <c r="H36" s="266">
        <f t="shared" si="0"/>
        <v>520.8</v>
      </c>
      <c r="I36" s="259">
        <f t="shared" si="1"/>
        <v>0.005973052038977239</v>
      </c>
      <c r="K36" s="12"/>
    </row>
    <row r="37" spans="1:11" s="11" customFormat="1" ht="12.75" customHeight="1">
      <c r="A37" s="109" t="s">
        <v>280</v>
      </c>
      <c r="B37" s="267" t="s">
        <v>302</v>
      </c>
      <c r="C37" s="264">
        <v>3</v>
      </c>
      <c r="D37" s="265" t="s">
        <v>234</v>
      </c>
      <c r="E37" s="266">
        <f t="shared" si="3"/>
        <v>7.920000000000001</v>
      </c>
      <c r="F37" s="266">
        <v>19.8</v>
      </c>
      <c r="G37" s="266">
        <f t="shared" si="2"/>
        <v>27.720000000000002</v>
      </c>
      <c r="H37" s="266">
        <f t="shared" si="0"/>
        <v>83.16000000000001</v>
      </c>
      <c r="I37" s="259">
        <f t="shared" si="1"/>
        <v>0.0009537615352560433</v>
      </c>
      <c r="K37" s="12"/>
    </row>
    <row r="38" spans="1:11" s="11" customFormat="1" ht="12.75" customHeight="1">
      <c r="A38" s="109" t="s">
        <v>281</v>
      </c>
      <c r="B38" s="267" t="s">
        <v>303</v>
      </c>
      <c r="C38" s="264">
        <v>3</v>
      </c>
      <c r="D38" s="265" t="s">
        <v>234</v>
      </c>
      <c r="E38" s="266">
        <f t="shared" si="3"/>
        <v>3.6</v>
      </c>
      <c r="F38" s="266">
        <v>9</v>
      </c>
      <c r="G38" s="266">
        <f t="shared" si="2"/>
        <v>12.6</v>
      </c>
      <c r="H38" s="266">
        <f t="shared" si="0"/>
        <v>37.8</v>
      </c>
      <c r="I38" s="259">
        <f t="shared" si="1"/>
        <v>0.0004335279705709287</v>
      </c>
      <c r="K38" s="12"/>
    </row>
    <row r="39" spans="1:11" s="11" customFormat="1" ht="12.75" customHeight="1">
      <c r="A39" s="109" t="s">
        <v>283</v>
      </c>
      <c r="B39" s="267" t="s">
        <v>304</v>
      </c>
      <c r="C39" s="264">
        <v>3</v>
      </c>
      <c r="D39" s="265" t="s">
        <v>234</v>
      </c>
      <c r="E39" s="266">
        <f t="shared" si="3"/>
        <v>4.58</v>
      </c>
      <c r="F39" s="266">
        <v>11.45</v>
      </c>
      <c r="G39" s="266">
        <f t="shared" si="2"/>
        <v>16.03</v>
      </c>
      <c r="H39" s="266">
        <f t="shared" si="0"/>
        <v>48.09</v>
      </c>
      <c r="I39" s="259">
        <f t="shared" si="1"/>
        <v>0.0005515439181152371</v>
      </c>
      <c r="K39" s="12"/>
    </row>
    <row r="40" spans="1:11" s="11" customFormat="1" ht="12.75" customHeight="1">
      <c r="A40" s="109" t="s">
        <v>284</v>
      </c>
      <c r="B40" s="267" t="s">
        <v>305</v>
      </c>
      <c r="C40" s="264">
        <v>1</v>
      </c>
      <c r="D40" s="265" t="s">
        <v>234</v>
      </c>
      <c r="E40" s="266">
        <f t="shared" si="3"/>
        <v>17.36</v>
      </c>
      <c r="F40" s="266">
        <v>43.4</v>
      </c>
      <c r="G40" s="266">
        <f t="shared" si="2"/>
        <v>60.76</v>
      </c>
      <c r="H40" s="266">
        <f t="shared" si="0"/>
        <v>60.76</v>
      </c>
      <c r="I40" s="259">
        <f t="shared" si="1"/>
        <v>0.0006968560712140113</v>
      </c>
      <c r="K40" s="12"/>
    </row>
    <row r="41" spans="1:11" s="11" customFormat="1" ht="12.75" customHeight="1">
      <c r="A41" s="109" t="s">
        <v>285</v>
      </c>
      <c r="B41" s="267" t="s">
        <v>306</v>
      </c>
      <c r="C41" s="264">
        <v>1</v>
      </c>
      <c r="D41" s="265" t="s">
        <v>234</v>
      </c>
      <c r="E41" s="266">
        <f t="shared" si="3"/>
        <v>10.920000000000002</v>
      </c>
      <c r="F41" s="266">
        <v>27.3</v>
      </c>
      <c r="G41" s="266">
        <f t="shared" si="2"/>
        <v>38.22</v>
      </c>
      <c r="H41" s="266">
        <f t="shared" si="0"/>
        <v>38.22</v>
      </c>
      <c r="I41" s="259">
        <f t="shared" si="1"/>
        <v>0.0004383449480217168</v>
      </c>
      <c r="K41" s="12"/>
    </row>
    <row r="42" spans="1:11" s="11" customFormat="1" ht="12.75" customHeight="1">
      <c r="A42" s="109" t="s">
        <v>287</v>
      </c>
      <c r="B42" s="267" t="s">
        <v>307</v>
      </c>
      <c r="C42" s="264">
        <v>3</v>
      </c>
      <c r="D42" s="265" t="s">
        <v>234</v>
      </c>
      <c r="E42" s="266">
        <f t="shared" si="3"/>
        <v>1.64</v>
      </c>
      <c r="F42" s="266">
        <v>4.1</v>
      </c>
      <c r="G42" s="266">
        <f t="shared" si="2"/>
        <v>5.739999999999999</v>
      </c>
      <c r="H42" s="266">
        <f t="shared" si="0"/>
        <v>17.22</v>
      </c>
      <c r="I42" s="259">
        <f t="shared" si="1"/>
        <v>0.00019749607548231196</v>
      </c>
      <c r="K42" s="12"/>
    </row>
    <row r="43" spans="1:11" s="11" customFormat="1" ht="12.75" customHeight="1">
      <c r="A43" s="109" t="s">
        <v>289</v>
      </c>
      <c r="B43" s="267" t="s">
        <v>308</v>
      </c>
      <c r="C43" s="264">
        <v>3</v>
      </c>
      <c r="D43" s="265" t="s">
        <v>234</v>
      </c>
      <c r="E43" s="266">
        <f t="shared" si="3"/>
        <v>1.92</v>
      </c>
      <c r="F43" s="266">
        <v>4.8</v>
      </c>
      <c r="G43" s="266">
        <f t="shared" si="2"/>
        <v>6.72</v>
      </c>
      <c r="H43" s="266">
        <f t="shared" si="0"/>
        <v>20.16</v>
      </c>
      <c r="I43" s="259">
        <f t="shared" si="1"/>
        <v>0.00023121491763782866</v>
      </c>
      <c r="K43" s="12"/>
    </row>
    <row r="44" spans="1:11" s="11" customFormat="1" ht="12.75" customHeight="1">
      <c r="A44" s="109" t="s">
        <v>291</v>
      </c>
      <c r="B44" s="267" t="s">
        <v>309</v>
      </c>
      <c r="C44" s="264">
        <v>3</v>
      </c>
      <c r="D44" s="265" t="s">
        <v>234</v>
      </c>
      <c r="E44" s="266">
        <f t="shared" si="3"/>
        <v>2.4000000000000004</v>
      </c>
      <c r="F44" s="266">
        <v>6</v>
      </c>
      <c r="G44" s="266">
        <f t="shared" si="2"/>
        <v>8.4</v>
      </c>
      <c r="H44" s="266">
        <f t="shared" si="0"/>
        <v>25.200000000000003</v>
      </c>
      <c r="I44" s="259">
        <f t="shared" si="1"/>
        <v>0.00028901864704728586</v>
      </c>
      <c r="K44" s="12"/>
    </row>
    <row r="45" spans="1:11" s="11" customFormat="1" ht="12.75" customHeight="1">
      <c r="A45" s="109" t="s">
        <v>293</v>
      </c>
      <c r="B45" s="267" t="s">
        <v>310</v>
      </c>
      <c r="C45" s="264">
        <v>3</v>
      </c>
      <c r="D45" s="265" t="s">
        <v>234</v>
      </c>
      <c r="E45" s="266">
        <f t="shared" si="3"/>
        <v>2.4000000000000004</v>
      </c>
      <c r="F45" s="266">
        <v>6</v>
      </c>
      <c r="G45" s="266">
        <f t="shared" si="2"/>
        <v>8.4</v>
      </c>
      <c r="H45" s="266">
        <f t="shared" si="0"/>
        <v>25.200000000000003</v>
      </c>
      <c r="I45" s="259">
        <f t="shared" si="1"/>
        <v>0.00028901864704728586</v>
      </c>
      <c r="K45" s="12"/>
    </row>
    <row r="46" spans="1:11" s="11" customFormat="1" ht="12.75" customHeight="1">
      <c r="A46" s="109" t="s">
        <v>294</v>
      </c>
      <c r="B46" s="267" t="s">
        <v>311</v>
      </c>
      <c r="C46" s="264">
        <v>3</v>
      </c>
      <c r="D46" s="265" t="s">
        <v>234</v>
      </c>
      <c r="E46" s="266">
        <f t="shared" si="3"/>
        <v>0.48</v>
      </c>
      <c r="F46" s="266">
        <v>1.2</v>
      </c>
      <c r="G46" s="266">
        <f>F46+E46</f>
        <v>1.68</v>
      </c>
      <c r="H46" s="266">
        <f>G46*C46</f>
        <v>5.04</v>
      </c>
      <c r="I46" s="259">
        <f t="shared" si="1"/>
        <v>5.7803729409457166E-05</v>
      </c>
      <c r="K46" s="12"/>
    </row>
    <row r="47" spans="1:11" s="11" customFormat="1" ht="12.75" customHeight="1">
      <c r="A47" s="109" t="s">
        <v>296</v>
      </c>
      <c r="B47" s="267" t="s">
        <v>312</v>
      </c>
      <c r="C47" s="264">
        <v>6</v>
      </c>
      <c r="D47" s="265" t="s">
        <v>234</v>
      </c>
      <c r="E47" s="266">
        <f t="shared" si="3"/>
        <v>0.8400000000000001</v>
      </c>
      <c r="F47" s="266">
        <v>2.1</v>
      </c>
      <c r="G47" s="266">
        <f t="shared" si="2"/>
        <v>2.9400000000000004</v>
      </c>
      <c r="H47" s="266">
        <f t="shared" si="0"/>
        <v>17.64</v>
      </c>
      <c r="I47" s="259">
        <f t="shared" si="1"/>
        <v>0.00020231305293310007</v>
      </c>
      <c r="K47" s="12"/>
    </row>
    <row r="48" spans="1:11" s="11" customFormat="1" ht="12.75" customHeight="1">
      <c r="A48" s="109" t="s">
        <v>297</v>
      </c>
      <c r="B48" s="267" t="s">
        <v>313</v>
      </c>
      <c r="C48" s="264">
        <v>6</v>
      </c>
      <c r="D48" s="265" t="s">
        <v>234</v>
      </c>
      <c r="E48" s="266">
        <f>0.4*F48</f>
        <v>12.880000000000003</v>
      </c>
      <c r="F48" s="266">
        <v>32.2</v>
      </c>
      <c r="G48" s="266">
        <f t="shared" si="2"/>
        <v>45.080000000000005</v>
      </c>
      <c r="H48" s="266">
        <f t="shared" si="0"/>
        <v>270.48</v>
      </c>
      <c r="I48" s="259">
        <f t="shared" si="1"/>
        <v>0.0031021334783075346</v>
      </c>
      <c r="K48" s="12"/>
    </row>
    <row r="49" spans="1:9" ht="12.75">
      <c r="A49" s="278" t="s">
        <v>3</v>
      </c>
      <c r="B49" s="286"/>
      <c r="C49" s="279"/>
      <c r="D49" s="279"/>
      <c r="E49" s="279"/>
      <c r="F49" s="279"/>
      <c r="G49" s="280"/>
      <c r="H49" s="16">
        <f>SUM(H9:H48)</f>
        <v>87191.60599999997</v>
      </c>
      <c r="I49" s="268">
        <f>SUM(I9:I48)</f>
        <v>1.0000000000000004</v>
      </c>
    </row>
    <row r="50" spans="1:9" ht="12.75">
      <c r="A50" s="278" t="s">
        <v>36</v>
      </c>
      <c r="B50" s="279"/>
      <c r="C50" s="279"/>
      <c r="D50" s="279"/>
      <c r="E50" s="279"/>
      <c r="F50" s="279"/>
      <c r="G50" s="280"/>
      <c r="H50" s="16">
        <f>H49*0.22</f>
        <v>19182.153319999994</v>
      </c>
      <c r="I50" s="269"/>
    </row>
    <row r="51" spans="1:9" ht="12.75">
      <c r="A51" s="278" t="s">
        <v>4</v>
      </c>
      <c r="B51" s="279"/>
      <c r="C51" s="279"/>
      <c r="D51" s="279"/>
      <c r="E51" s="279"/>
      <c r="F51" s="279"/>
      <c r="G51" s="280"/>
      <c r="H51" s="16">
        <f>H49+H50</f>
        <v>106373.75931999997</v>
      </c>
      <c r="I51" s="270"/>
    </row>
    <row r="52" spans="1:9" ht="12.75">
      <c r="A52" s="15"/>
      <c r="B52" s="13"/>
      <c r="C52" s="12"/>
      <c r="D52" s="11"/>
      <c r="E52" s="11"/>
      <c r="F52" s="11"/>
      <c r="G52" s="11"/>
      <c r="H52" s="11"/>
      <c r="I52" s="11"/>
    </row>
    <row r="53" spans="1:9" ht="12.75">
      <c r="A53" s="14"/>
      <c r="B53" s="13"/>
      <c r="C53" s="12"/>
      <c r="D53" s="11"/>
      <c r="E53" s="11"/>
      <c r="F53" s="11"/>
      <c r="G53" s="11"/>
      <c r="H53" s="11"/>
      <c r="I53" s="11"/>
    </row>
    <row r="54" spans="1:9" ht="12.75">
      <c r="A54" s="14"/>
      <c r="C54" s="12"/>
      <c r="D54" s="11"/>
      <c r="E54" s="11"/>
      <c r="F54" s="11"/>
      <c r="G54" s="11"/>
      <c r="H54" s="11"/>
      <c r="I54" s="11"/>
    </row>
    <row r="55" spans="1:9" ht="12.75">
      <c r="A55" s="14"/>
      <c r="B55" s="217"/>
      <c r="C55" s="12"/>
      <c r="D55" s="11"/>
      <c r="E55" s="11"/>
      <c r="F55" s="11"/>
      <c r="G55" s="11"/>
      <c r="H55" s="11"/>
      <c r="I55" s="11"/>
    </row>
    <row r="56" spans="1:9" ht="12.75">
      <c r="A56" s="14"/>
      <c r="B56" s="217"/>
      <c r="C56" s="12"/>
      <c r="D56" s="11"/>
      <c r="E56" s="11"/>
      <c r="F56" s="11"/>
      <c r="G56" s="11"/>
      <c r="H56" s="11"/>
      <c r="I56" s="11"/>
    </row>
    <row r="57" spans="1:9" ht="12.75">
      <c r="A57" s="14"/>
      <c r="B57" s="217"/>
      <c r="C57" s="12"/>
      <c r="D57" s="11"/>
      <c r="E57" s="11"/>
      <c r="F57" s="11"/>
      <c r="G57" s="11"/>
      <c r="H57" s="11"/>
      <c r="I57" s="11"/>
    </row>
    <row r="58" spans="1:9" ht="12.75">
      <c r="A58" s="14"/>
      <c r="B58" s="217"/>
      <c r="C58" s="12"/>
      <c r="D58" s="11"/>
      <c r="E58" s="11"/>
      <c r="F58" s="11"/>
      <c r="G58" s="11"/>
      <c r="H58" s="11"/>
      <c r="I58" s="11"/>
    </row>
  </sheetData>
  <sheetProtection/>
  <mergeCells count="17">
    <mergeCell ref="C1:I1"/>
    <mergeCell ref="C2:I2"/>
    <mergeCell ref="D3:E3"/>
    <mergeCell ref="C4:E4"/>
    <mergeCell ref="G4:I4"/>
    <mergeCell ref="A9:A12"/>
    <mergeCell ref="B9:B12"/>
    <mergeCell ref="C9:C12"/>
    <mergeCell ref="D9:D12"/>
    <mergeCell ref="E9:E12"/>
    <mergeCell ref="A51:G51"/>
    <mergeCell ref="F9:F12"/>
    <mergeCell ref="G9:G12"/>
    <mergeCell ref="H9:H12"/>
    <mergeCell ref="I9:I12"/>
    <mergeCell ref="A49:G49"/>
    <mergeCell ref="A50:G50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2"/>
  <headerFooter>
    <oddFooter>&amp;R________________________
Fernando Melo Franco
Engº Eletricista CREA 11.179/D-GO
G5 ENGENHARIA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9"/>
  <sheetViews>
    <sheetView zoomScale="90" zoomScaleNormal="90" zoomScaleSheetLayoutView="100" workbookViewId="0" topLeftCell="A464">
      <pane ySplit="465" topLeftCell="A31" activePane="bottomLeft" state="split"/>
      <selection pane="topLeft" activeCell="A18" sqref="A18:IV18"/>
      <selection pane="bottomLeft" activeCell="J17" sqref="J17:K17"/>
    </sheetView>
  </sheetViews>
  <sheetFormatPr defaultColWidth="9.140625" defaultRowHeight="12.75"/>
  <cols>
    <col min="1" max="1" width="5.8515625" style="10" customWidth="1"/>
    <col min="2" max="2" width="82.57421875" style="9" customWidth="1"/>
    <col min="3" max="3" width="10.28125" style="8" customWidth="1"/>
    <col min="4" max="4" width="4.421875" style="7" customWidth="1"/>
    <col min="5" max="5" width="8.57421875" style="7" customWidth="1"/>
    <col min="6" max="6" width="10.00390625" style="7" bestFit="1" customWidth="1"/>
    <col min="7" max="7" width="12.57421875" style="7" customWidth="1"/>
    <col min="8" max="8" width="13.7109375" style="7" customWidth="1"/>
    <col min="9" max="9" width="10.421875" style="7" customWidth="1"/>
    <col min="10" max="10" width="14.140625" style="7" customWidth="1"/>
    <col min="11" max="11" width="10.57421875" style="7" customWidth="1"/>
    <col min="12" max="16384" width="9.140625" style="7" customWidth="1"/>
  </cols>
  <sheetData>
    <row r="1" spans="1:11" ht="31.5">
      <c r="A1" s="63"/>
      <c r="B1" s="64" t="s">
        <v>161</v>
      </c>
      <c r="C1" s="287" t="s">
        <v>162</v>
      </c>
      <c r="D1" s="288"/>
      <c r="E1" s="288"/>
      <c r="F1" s="288"/>
      <c r="G1" s="288"/>
      <c r="H1" s="288"/>
      <c r="I1" s="289"/>
      <c r="J1" s="65"/>
      <c r="K1" s="65"/>
    </row>
    <row r="2" spans="1:11" ht="24" customHeight="1">
      <c r="A2" s="62"/>
      <c r="B2" s="66"/>
      <c r="C2" s="287" t="s">
        <v>163</v>
      </c>
      <c r="D2" s="288"/>
      <c r="E2" s="288"/>
      <c r="F2" s="288"/>
      <c r="G2" s="288"/>
      <c r="H2" s="288"/>
      <c r="I2" s="289"/>
      <c r="J2" s="65"/>
      <c r="K2" s="65"/>
    </row>
    <row r="3" spans="1:11" ht="21">
      <c r="A3" s="62"/>
      <c r="B3" s="66"/>
      <c r="C3" s="55" t="s">
        <v>0</v>
      </c>
      <c r="D3" s="290"/>
      <c r="E3" s="290"/>
      <c r="F3" s="56" t="s">
        <v>2</v>
      </c>
      <c r="G3" s="55" t="s">
        <v>25</v>
      </c>
      <c r="H3" s="67"/>
      <c r="I3" s="56"/>
      <c r="J3" s="65"/>
      <c r="K3" s="65"/>
    </row>
    <row r="4" spans="1:11" ht="21.75" thickBot="1">
      <c r="A4" s="68"/>
      <c r="B4" s="69"/>
      <c r="C4" s="291" t="s">
        <v>20</v>
      </c>
      <c r="D4" s="292"/>
      <c r="E4" s="292"/>
      <c r="F4" s="70"/>
      <c r="G4" s="291" t="s">
        <v>35</v>
      </c>
      <c r="H4" s="292"/>
      <c r="I4" s="293"/>
      <c r="J4" s="65"/>
      <c r="K4" s="1"/>
    </row>
    <row r="5" spans="1:9" s="127" customFormat="1" ht="12" customHeight="1" thickBot="1">
      <c r="A5" s="302" t="s">
        <v>26</v>
      </c>
      <c r="B5" s="303"/>
      <c r="C5" s="303"/>
      <c r="D5" s="303"/>
      <c r="E5" s="303"/>
      <c r="F5" s="303"/>
      <c r="G5" s="303"/>
      <c r="H5" s="303"/>
      <c r="I5" s="303"/>
    </row>
    <row r="6" spans="1:9" s="132" customFormat="1" ht="12" customHeight="1" thickBot="1">
      <c r="A6" s="128" t="s">
        <v>5</v>
      </c>
      <c r="B6" s="129" t="s">
        <v>6</v>
      </c>
      <c r="C6" s="130" t="s">
        <v>7</v>
      </c>
      <c r="D6" s="131" t="s">
        <v>8</v>
      </c>
      <c r="E6" s="131" t="s">
        <v>9</v>
      </c>
      <c r="F6" s="131" t="s">
        <v>10</v>
      </c>
      <c r="G6" s="131" t="s">
        <v>11</v>
      </c>
      <c r="H6" s="131" t="s">
        <v>12</v>
      </c>
      <c r="I6" s="131" t="s">
        <v>13</v>
      </c>
    </row>
    <row r="7" spans="1:9" s="127" customFormat="1" ht="12" customHeight="1">
      <c r="A7" s="133"/>
      <c r="B7" s="134" t="s">
        <v>23</v>
      </c>
      <c r="C7" s="135" t="s">
        <v>15</v>
      </c>
      <c r="D7" s="135"/>
      <c r="E7" s="136"/>
      <c r="F7" s="136"/>
      <c r="G7" s="136"/>
      <c r="H7" s="137">
        <f>H59</f>
        <v>445008.30492</v>
      </c>
      <c r="I7" s="138">
        <f>SUM(I9:I49)</f>
        <v>0.9999999999999999</v>
      </c>
    </row>
    <row r="8" spans="1:229" s="127" customFormat="1" ht="12" customHeight="1">
      <c r="A8" s="139">
        <v>1</v>
      </c>
      <c r="B8" s="140" t="s">
        <v>23</v>
      </c>
      <c r="C8" s="141"/>
      <c r="D8" s="142" t="s">
        <v>176</v>
      </c>
      <c r="E8" s="141"/>
      <c r="F8" s="140"/>
      <c r="G8" s="143"/>
      <c r="H8" s="143"/>
      <c r="I8" s="144"/>
      <c r="J8" s="145"/>
      <c r="K8" s="145"/>
      <c r="L8" s="149"/>
      <c r="M8" s="149"/>
      <c r="N8" s="145"/>
      <c r="O8" s="145"/>
      <c r="P8" s="145"/>
      <c r="Q8" s="145"/>
      <c r="R8" s="146"/>
      <c r="S8" s="147"/>
      <c r="T8" s="148"/>
      <c r="U8" s="149"/>
      <c r="V8" s="149"/>
      <c r="W8" s="145"/>
      <c r="X8" s="145"/>
      <c r="Y8" s="145"/>
      <c r="Z8" s="145"/>
      <c r="AA8" s="146"/>
      <c r="AB8" s="147"/>
      <c r="AC8" s="148"/>
      <c r="AD8" s="149"/>
      <c r="AE8" s="149"/>
      <c r="AF8" s="145"/>
      <c r="AG8" s="145"/>
      <c r="AH8" s="145"/>
      <c r="AI8" s="145"/>
      <c r="AJ8" s="146"/>
      <c r="AK8" s="147"/>
      <c r="AL8" s="148"/>
      <c r="AM8" s="149"/>
      <c r="AN8" s="149"/>
      <c r="AO8" s="145"/>
      <c r="AP8" s="145"/>
      <c r="AQ8" s="145"/>
      <c r="AR8" s="145"/>
      <c r="AS8" s="146"/>
      <c r="AT8" s="147"/>
      <c r="AU8" s="148"/>
      <c r="AV8" s="149"/>
      <c r="AW8" s="149"/>
      <c r="AX8" s="145"/>
      <c r="AY8" s="145"/>
      <c r="AZ8" s="145"/>
      <c r="BA8" s="145"/>
      <c r="BB8" s="146"/>
      <c r="BC8" s="147"/>
      <c r="BD8" s="148"/>
      <c r="BE8" s="149"/>
      <c r="BF8" s="149"/>
      <c r="BG8" s="145"/>
      <c r="BH8" s="145"/>
      <c r="BI8" s="145"/>
      <c r="BJ8" s="145"/>
      <c r="BK8" s="146"/>
      <c r="BL8" s="147"/>
      <c r="BM8" s="148"/>
      <c r="BN8" s="149"/>
      <c r="BO8" s="149"/>
      <c r="BP8" s="145"/>
      <c r="BQ8" s="145"/>
      <c r="BR8" s="145"/>
      <c r="BS8" s="145"/>
      <c r="BT8" s="146"/>
      <c r="BU8" s="147"/>
      <c r="BV8" s="148"/>
      <c r="BW8" s="149"/>
      <c r="BX8" s="149"/>
      <c r="BY8" s="145"/>
      <c r="BZ8" s="145"/>
      <c r="CA8" s="145"/>
      <c r="CB8" s="145"/>
      <c r="CC8" s="146"/>
      <c r="CD8" s="147"/>
      <c r="CE8" s="148"/>
      <c r="CF8" s="149"/>
      <c r="CG8" s="149"/>
      <c r="CH8" s="145"/>
      <c r="CI8" s="145"/>
      <c r="CJ8" s="145"/>
      <c r="CK8" s="145"/>
      <c r="CL8" s="146"/>
      <c r="CM8" s="147"/>
      <c r="CN8" s="148"/>
      <c r="CO8" s="149"/>
      <c r="CP8" s="149"/>
      <c r="CQ8" s="145"/>
      <c r="CR8" s="145"/>
      <c r="CS8" s="145"/>
      <c r="CT8" s="145"/>
      <c r="CU8" s="146"/>
      <c r="CV8" s="147"/>
      <c r="CW8" s="148"/>
      <c r="CX8" s="149"/>
      <c r="CY8" s="149"/>
      <c r="CZ8" s="145"/>
      <c r="DA8" s="145"/>
      <c r="DB8" s="145"/>
      <c r="DC8" s="145"/>
      <c r="DD8" s="146"/>
      <c r="DE8" s="147"/>
      <c r="DF8" s="148"/>
      <c r="DG8" s="149"/>
      <c r="DH8" s="149"/>
      <c r="DI8" s="145"/>
      <c r="DJ8" s="145"/>
      <c r="DK8" s="145"/>
      <c r="DL8" s="145"/>
      <c r="DM8" s="146"/>
      <c r="DN8" s="147"/>
      <c r="DO8" s="148"/>
      <c r="DP8" s="149"/>
      <c r="DQ8" s="149"/>
      <c r="DR8" s="145"/>
      <c r="DS8" s="145"/>
      <c r="DT8" s="145"/>
      <c r="DU8" s="145"/>
      <c r="DV8" s="146"/>
      <c r="DW8" s="147"/>
      <c r="DX8" s="148"/>
      <c r="DY8" s="149"/>
      <c r="DZ8" s="149"/>
      <c r="EA8" s="145"/>
      <c r="EB8" s="145"/>
      <c r="EC8" s="145"/>
      <c r="ED8" s="145"/>
      <c r="EE8" s="146"/>
      <c r="EF8" s="147"/>
      <c r="EG8" s="148"/>
      <c r="EH8" s="149"/>
      <c r="EI8" s="149"/>
      <c r="EJ8" s="145"/>
      <c r="EK8" s="145"/>
      <c r="EL8" s="145"/>
      <c r="EM8" s="145"/>
      <c r="EN8" s="146"/>
      <c r="EO8" s="147"/>
      <c r="EP8" s="148"/>
      <c r="EQ8" s="149"/>
      <c r="ER8" s="149"/>
      <c r="ES8" s="145"/>
      <c r="ET8" s="145"/>
      <c r="EU8" s="145"/>
      <c r="EV8" s="145"/>
      <c r="EW8" s="146"/>
      <c r="EX8" s="147"/>
      <c r="EY8" s="148"/>
      <c r="EZ8" s="149"/>
      <c r="FA8" s="149"/>
      <c r="FB8" s="145"/>
      <c r="FC8" s="145"/>
      <c r="FD8" s="145"/>
      <c r="FE8" s="145"/>
      <c r="FF8" s="146"/>
      <c r="FG8" s="147"/>
      <c r="FH8" s="148"/>
      <c r="FI8" s="149"/>
      <c r="FJ8" s="149"/>
      <c r="FK8" s="145"/>
      <c r="FL8" s="145"/>
      <c r="FM8" s="145"/>
      <c r="FN8" s="145"/>
      <c r="FO8" s="146"/>
      <c r="FP8" s="147"/>
      <c r="FQ8" s="148"/>
      <c r="FR8" s="149"/>
      <c r="FS8" s="149"/>
      <c r="FT8" s="145"/>
      <c r="FU8" s="145"/>
      <c r="FV8" s="145"/>
      <c r="FW8" s="145"/>
      <c r="FX8" s="146"/>
      <c r="FY8" s="147"/>
      <c r="FZ8" s="148"/>
      <c r="GA8" s="149"/>
      <c r="GB8" s="149"/>
      <c r="GC8" s="145"/>
      <c r="GD8" s="145"/>
      <c r="GE8" s="145"/>
      <c r="GF8" s="145"/>
      <c r="GG8" s="146"/>
      <c r="GH8" s="147"/>
      <c r="GI8" s="148"/>
      <c r="GJ8" s="149"/>
      <c r="GK8" s="149"/>
      <c r="GL8" s="145"/>
      <c r="GM8" s="145"/>
      <c r="GN8" s="145"/>
      <c r="GO8" s="145"/>
      <c r="GP8" s="146"/>
      <c r="GQ8" s="147"/>
      <c r="GR8" s="148"/>
      <c r="GS8" s="149"/>
      <c r="GT8" s="149"/>
      <c r="GU8" s="145"/>
      <c r="GV8" s="145"/>
      <c r="GW8" s="145"/>
      <c r="GX8" s="145"/>
      <c r="GY8" s="146"/>
      <c r="GZ8" s="147"/>
      <c r="HA8" s="148"/>
      <c r="HB8" s="149"/>
      <c r="HC8" s="149"/>
      <c r="HD8" s="145"/>
      <c r="HE8" s="145"/>
      <c r="HF8" s="145"/>
      <c r="HG8" s="145"/>
      <c r="HH8" s="146"/>
      <c r="HI8" s="147"/>
      <c r="HJ8" s="148"/>
      <c r="HK8" s="149"/>
      <c r="HL8" s="149"/>
      <c r="HM8" s="145"/>
      <c r="HN8" s="145"/>
      <c r="HO8" s="145"/>
      <c r="HP8" s="145"/>
      <c r="HQ8" s="146"/>
      <c r="HR8" s="147"/>
      <c r="HS8" s="148"/>
      <c r="HT8" s="149"/>
      <c r="HU8" s="149"/>
    </row>
    <row r="9" spans="1:11" s="45" customFormat="1" ht="11.25">
      <c r="A9" s="71" t="s">
        <v>37</v>
      </c>
      <c r="B9" s="48" t="s">
        <v>194</v>
      </c>
      <c r="C9" s="47">
        <v>2</v>
      </c>
      <c r="D9" s="46" t="s">
        <v>14</v>
      </c>
      <c r="E9" s="2">
        <f>G9*0.3</f>
        <v>119.64899999999999</v>
      </c>
      <c r="F9" s="2">
        <f>G9*0.7</f>
        <v>279.181</v>
      </c>
      <c r="G9" s="29">
        <v>398.83</v>
      </c>
      <c r="H9" s="29">
        <f>G9*C9</f>
        <v>797.66</v>
      </c>
      <c r="I9" s="174">
        <f>H9/$H$59</f>
        <v>0.0017924609297873594</v>
      </c>
      <c r="J9" s="151" t="s">
        <v>197</v>
      </c>
      <c r="K9" s="152"/>
    </row>
    <row r="10" spans="1:11" s="1" customFormat="1" ht="11.25">
      <c r="A10" s="139">
        <v>2</v>
      </c>
      <c r="B10" s="140" t="s">
        <v>195</v>
      </c>
      <c r="C10" s="175"/>
      <c r="D10" s="176" t="s">
        <v>176</v>
      </c>
      <c r="E10" s="176"/>
      <c r="F10" s="176"/>
      <c r="G10" s="176"/>
      <c r="H10" s="176"/>
      <c r="I10" s="176"/>
      <c r="J10" s="177"/>
      <c r="K10" s="178"/>
    </row>
    <row r="11" spans="1:11" s="183" customFormat="1" ht="11.25" customHeight="1">
      <c r="A11" s="150" t="s">
        <v>39</v>
      </c>
      <c r="B11" s="26" t="s">
        <v>319</v>
      </c>
      <c r="C11" s="275">
        <v>1</v>
      </c>
      <c r="D11" s="276" t="s">
        <v>14</v>
      </c>
      <c r="E11" s="3">
        <f>0.15*G11</f>
        <v>163.578</v>
      </c>
      <c r="F11" s="3">
        <f>G11*0.85</f>
        <v>926.942</v>
      </c>
      <c r="G11" s="29">
        <v>1090.52</v>
      </c>
      <c r="H11" s="29">
        <f>G11*C11</f>
        <v>1090.52</v>
      </c>
      <c r="I11" s="174">
        <f>H11/$H$59</f>
        <v>0.002450561007386244</v>
      </c>
      <c r="J11" s="151" t="s">
        <v>177</v>
      </c>
      <c r="K11" s="182" t="s">
        <v>244</v>
      </c>
    </row>
    <row r="12" spans="1:11" s="183" customFormat="1" ht="11.25" customHeight="1">
      <c r="A12" s="150" t="s">
        <v>109</v>
      </c>
      <c r="B12" s="26" t="s">
        <v>320</v>
      </c>
      <c r="C12" s="275">
        <v>1</v>
      </c>
      <c r="D12" s="276" t="s">
        <v>14</v>
      </c>
      <c r="E12" s="3">
        <f>0.15*G12</f>
        <v>268.179</v>
      </c>
      <c r="F12" s="3">
        <f>G12*0.85</f>
        <v>1519.6809999999998</v>
      </c>
      <c r="G12" s="29">
        <v>1787.86</v>
      </c>
      <c r="H12" s="29">
        <f>G12*C12</f>
        <v>1787.86</v>
      </c>
      <c r="I12" s="174">
        <f>H12/$H$59</f>
        <v>0.004017587942142803</v>
      </c>
      <c r="J12" s="151" t="s">
        <v>177</v>
      </c>
      <c r="K12" s="182" t="s">
        <v>245</v>
      </c>
    </row>
    <row r="13" spans="1:11" s="183" customFormat="1" ht="11.25" customHeight="1">
      <c r="A13" s="150" t="s">
        <v>138</v>
      </c>
      <c r="B13" s="179" t="s">
        <v>196</v>
      </c>
      <c r="C13" s="275">
        <v>1</v>
      </c>
      <c r="D13" s="276" t="s">
        <v>14</v>
      </c>
      <c r="E13" s="3">
        <f>0.15*G13</f>
        <v>621.7724999999999</v>
      </c>
      <c r="F13" s="3">
        <f>G13*0.85</f>
        <v>3523.3774999999996</v>
      </c>
      <c r="G13" s="29">
        <v>4145.15</v>
      </c>
      <c r="H13" s="29">
        <f>G13*C13</f>
        <v>4145.15</v>
      </c>
      <c r="I13" s="174">
        <f>H13/$H$59</f>
        <v>0.00931476998107975</v>
      </c>
      <c r="J13" s="151" t="s">
        <v>177</v>
      </c>
      <c r="K13" s="186">
        <v>72319</v>
      </c>
    </row>
    <row r="14" spans="1:11" s="183" customFormat="1" ht="12.75" customHeight="1">
      <c r="A14" s="150" t="s">
        <v>40</v>
      </c>
      <c r="B14" s="213" t="s">
        <v>233</v>
      </c>
      <c r="C14" s="273">
        <v>1</v>
      </c>
      <c r="D14" s="274" t="s">
        <v>234</v>
      </c>
      <c r="E14" s="272">
        <f>F14*0.3</f>
        <v>300</v>
      </c>
      <c r="F14" s="272">
        <v>1000</v>
      </c>
      <c r="G14" s="272">
        <f>F14+E14</f>
        <v>1300</v>
      </c>
      <c r="H14" s="272">
        <f>G14*C14</f>
        <v>1300</v>
      </c>
      <c r="I14" s="174">
        <f>H14/$H$59</f>
        <v>0.0029212937952555816</v>
      </c>
      <c r="J14" s="151" t="s">
        <v>197</v>
      </c>
      <c r="K14" s="216">
        <v>28.9</v>
      </c>
    </row>
    <row r="15" spans="1:11" s="183" customFormat="1" ht="12.75" customHeight="1">
      <c r="A15" s="150" t="s">
        <v>41</v>
      </c>
      <c r="B15" s="213" t="s">
        <v>343</v>
      </c>
      <c r="C15" s="273">
        <v>1</v>
      </c>
      <c r="D15" s="274" t="s">
        <v>234</v>
      </c>
      <c r="E15" s="272">
        <f>F15*0.3</f>
        <v>1050</v>
      </c>
      <c r="F15" s="272">
        <v>3500</v>
      </c>
      <c r="G15" s="272">
        <f>F15+E15</f>
        <v>4550</v>
      </c>
      <c r="H15" s="272">
        <f>G15*C15</f>
        <v>4550</v>
      </c>
      <c r="I15" s="174">
        <f>H15/$H$59</f>
        <v>0.010224528283394535</v>
      </c>
      <c r="J15" s="151" t="s">
        <v>197</v>
      </c>
      <c r="K15" s="216">
        <v>28.9</v>
      </c>
    </row>
    <row r="16" spans="1:11" s="1" customFormat="1" ht="11.25">
      <c r="A16" s="139">
        <v>3</v>
      </c>
      <c r="B16" s="140" t="s">
        <v>198</v>
      </c>
      <c r="C16" s="184"/>
      <c r="D16" s="142" t="s">
        <v>176</v>
      </c>
      <c r="E16" s="141"/>
      <c r="F16" s="140"/>
      <c r="G16" s="185"/>
      <c r="H16" s="143"/>
      <c r="I16" s="326"/>
      <c r="J16" s="177"/>
      <c r="K16" s="178"/>
    </row>
    <row r="17" spans="1:11" s="11" customFormat="1" ht="12" customHeight="1">
      <c r="A17" s="71" t="s">
        <v>44</v>
      </c>
      <c r="B17" s="43" t="s">
        <v>113</v>
      </c>
      <c r="C17" s="122">
        <v>900</v>
      </c>
      <c r="D17" s="40" t="s">
        <v>1</v>
      </c>
      <c r="E17" s="3">
        <v>28.19</v>
      </c>
      <c r="F17" s="94">
        <v>24.96</v>
      </c>
      <c r="G17" s="19">
        <f>E17+F17</f>
        <v>53.150000000000006</v>
      </c>
      <c r="H17" s="19">
        <f>G17*C17</f>
        <v>47835.00000000001</v>
      </c>
      <c r="I17" s="174">
        <f>H17/$H$59</f>
        <v>0.10749237592003906</v>
      </c>
      <c r="J17" s="96" t="s">
        <v>67</v>
      </c>
      <c r="K17" s="72">
        <v>71208</v>
      </c>
    </row>
    <row r="18" spans="1:11" s="1" customFormat="1" ht="11.25">
      <c r="A18" s="139">
        <v>4</v>
      </c>
      <c r="B18" s="140" t="s">
        <v>200</v>
      </c>
      <c r="C18" s="188"/>
      <c r="D18" s="142" t="s">
        <v>176</v>
      </c>
      <c r="E18" s="141"/>
      <c r="F18" s="140"/>
      <c r="G18" s="185"/>
      <c r="H18" s="143"/>
      <c r="I18" s="326"/>
      <c r="J18" s="177"/>
      <c r="K18" s="178"/>
    </row>
    <row r="19" spans="1:11" s="183" customFormat="1" ht="11.25">
      <c r="A19" s="150" t="s">
        <v>45</v>
      </c>
      <c r="B19" s="197" t="s">
        <v>201</v>
      </c>
      <c r="C19" s="180">
        <v>90</v>
      </c>
      <c r="D19" s="181" t="s">
        <v>1</v>
      </c>
      <c r="E19" s="191">
        <f aca="true" t="shared" si="0" ref="E19:E24">G19*0.15</f>
        <v>14.2635</v>
      </c>
      <c r="F19" s="191">
        <f aca="true" t="shared" si="1" ref="F19:F36">G19*0.85</f>
        <v>80.8265</v>
      </c>
      <c r="G19" s="2">
        <v>95.09</v>
      </c>
      <c r="H19" s="2">
        <f aca="true" t="shared" si="2" ref="H19:H24">G19*C19</f>
        <v>8558.1</v>
      </c>
      <c r="I19" s="174">
        <f>H19/$H$59</f>
        <v>0.01923132648398215</v>
      </c>
      <c r="J19" s="190" t="s">
        <v>177</v>
      </c>
      <c r="K19" s="186">
        <v>92998</v>
      </c>
    </row>
    <row r="20" spans="1:11" s="183" customFormat="1" ht="11.25">
      <c r="A20" s="150" t="s">
        <v>46</v>
      </c>
      <c r="B20" s="197" t="s">
        <v>202</v>
      </c>
      <c r="C20" s="180">
        <v>30</v>
      </c>
      <c r="D20" s="181" t="s">
        <v>1</v>
      </c>
      <c r="E20" s="191">
        <f t="shared" si="0"/>
        <v>14.2635</v>
      </c>
      <c r="F20" s="191">
        <f t="shared" si="1"/>
        <v>80.8265</v>
      </c>
      <c r="G20" s="2">
        <v>95.09</v>
      </c>
      <c r="H20" s="2">
        <f t="shared" si="2"/>
        <v>2852.7000000000003</v>
      </c>
      <c r="I20" s="174">
        <f aca="true" t="shared" si="3" ref="I19:I36">H20/$H$59</f>
        <v>0.0064104421613273834</v>
      </c>
      <c r="J20" s="190" t="s">
        <v>177</v>
      </c>
      <c r="K20" s="186">
        <v>92998</v>
      </c>
    </row>
    <row r="21" spans="1:11" s="45" customFormat="1" ht="11.25">
      <c r="A21" s="150" t="s">
        <v>47</v>
      </c>
      <c r="B21" s="197" t="s">
        <v>240</v>
      </c>
      <c r="C21" s="47">
        <v>30</v>
      </c>
      <c r="D21" s="46" t="s">
        <v>1</v>
      </c>
      <c r="E21" s="191">
        <f t="shared" si="0"/>
        <v>5.761499999999999</v>
      </c>
      <c r="F21" s="191">
        <f t="shared" si="1"/>
        <v>32.6485</v>
      </c>
      <c r="G21" s="3">
        <v>38.41</v>
      </c>
      <c r="H21" s="29">
        <f t="shared" si="2"/>
        <v>1152.3</v>
      </c>
      <c r="I21" s="174">
        <f t="shared" si="3"/>
        <v>0.002589389877133082</v>
      </c>
      <c r="J21" s="151" t="s">
        <v>177</v>
      </c>
      <c r="K21" s="152">
        <v>92990</v>
      </c>
    </row>
    <row r="22" spans="1:11" s="183" customFormat="1" ht="11.25">
      <c r="A22" s="150" t="s">
        <v>48</v>
      </c>
      <c r="B22" s="197" t="s">
        <v>238</v>
      </c>
      <c r="C22" s="83">
        <v>90</v>
      </c>
      <c r="D22" s="124" t="s">
        <v>1</v>
      </c>
      <c r="E22" s="191">
        <f t="shared" si="0"/>
        <v>9.24</v>
      </c>
      <c r="F22" s="191">
        <f t="shared" si="1"/>
        <v>52.36</v>
      </c>
      <c r="G22" s="3">
        <v>61.6</v>
      </c>
      <c r="H22" s="3">
        <f t="shared" si="2"/>
        <v>5544</v>
      </c>
      <c r="I22" s="174">
        <f t="shared" si="3"/>
        <v>0.01245819446222842</v>
      </c>
      <c r="J22" s="153" t="s">
        <v>177</v>
      </c>
      <c r="K22" s="187">
        <v>92994</v>
      </c>
    </row>
    <row r="23" spans="1:11" s="183" customFormat="1" ht="11.25">
      <c r="A23" s="150" t="s">
        <v>49</v>
      </c>
      <c r="B23" s="197" t="s">
        <v>239</v>
      </c>
      <c r="C23" s="83">
        <v>30</v>
      </c>
      <c r="D23" s="124" t="s">
        <v>1</v>
      </c>
      <c r="E23" s="191">
        <f t="shared" si="0"/>
        <v>9.24</v>
      </c>
      <c r="F23" s="191">
        <f t="shared" si="1"/>
        <v>52.36</v>
      </c>
      <c r="G23" s="3">
        <v>61.6</v>
      </c>
      <c r="H23" s="3">
        <f t="shared" si="2"/>
        <v>1848</v>
      </c>
      <c r="I23" s="174">
        <f t="shared" si="3"/>
        <v>0.004152731487409473</v>
      </c>
      <c r="J23" s="153" t="s">
        <v>177</v>
      </c>
      <c r="K23" s="187">
        <v>92994</v>
      </c>
    </row>
    <row r="24" spans="1:11" s="45" customFormat="1" ht="11.25">
      <c r="A24" s="150" t="s">
        <v>105</v>
      </c>
      <c r="B24" s="197" t="s">
        <v>241</v>
      </c>
      <c r="C24" s="41">
        <v>30</v>
      </c>
      <c r="D24" s="40" t="s">
        <v>1</v>
      </c>
      <c r="E24" s="191">
        <f t="shared" si="0"/>
        <v>5.761499999999999</v>
      </c>
      <c r="F24" s="191">
        <f t="shared" si="1"/>
        <v>32.6485</v>
      </c>
      <c r="G24" s="3">
        <v>38.41</v>
      </c>
      <c r="H24" s="19">
        <f t="shared" si="2"/>
        <v>1152.3</v>
      </c>
      <c r="I24" s="174">
        <f t="shared" si="3"/>
        <v>0.002589389877133082</v>
      </c>
      <c r="J24" s="153" t="s">
        <v>177</v>
      </c>
      <c r="K24" s="154">
        <v>92990</v>
      </c>
    </row>
    <row r="25" spans="1:11" s="183" customFormat="1" ht="11.25">
      <c r="A25" s="150" t="s">
        <v>143</v>
      </c>
      <c r="B25" s="197" t="s">
        <v>322</v>
      </c>
      <c r="C25" s="180">
        <v>750</v>
      </c>
      <c r="D25" s="181" t="s">
        <v>1</v>
      </c>
      <c r="E25" s="191">
        <f aca="true" t="shared" si="4" ref="E25:E30">G25*0.15</f>
        <v>11.6685</v>
      </c>
      <c r="F25" s="191">
        <f t="shared" si="1"/>
        <v>66.1215</v>
      </c>
      <c r="G25" s="2">
        <v>77.79</v>
      </c>
      <c r="H25" s="2">
        <f aca="true" t="shared" si="5" ref="H25:H30">G25*C25</f>
        <v>58342.50000000001</v>
      </c>
      <c r="I25" s="174">
        <f t="shared" si="3"/>
        <v>0.1311042948074606</v>
      </c>
      <c r="J25" s="190" t="s">
        <v>177</v>
      </c>
      <c r="K25" s="186">
        <v>92996</v>
      </c>
    </row>
    <row r="26" spans="1:11" s="183" customFormat="1" ht="11.25">
      <c r="A26" s="150" t="s">
        <v>148</v>
      </c>
      <c r="B26" s="197" t="s">
        <v>323</v>
      </c>
      <c r="C26" s="180">
        <v>250</v>
      </c>
      <c r="D26" s="181" t="s">
        <v>1</v>
      </c>
      <c r="E26" s="191">
        <f t="shared" si="4"/>
        <v>11.6685</v>
      </c>
      <c r="F26" s="191">
        <f t="shared" si="1"/>
        <v>66.1215</v>
      </c>
      <c r="G26" s="2">
        <v>77.79</v>
      </c>
      <c r="H26" s="2">
        <f t="shared" si="5"/>
        <v>19447.5</v>
      </c>
      <c r="I26" s="174">
        <f t="shared" si="3"/>
        <v>0.043701431602486865</v>
      </c>
      <c r="J26" s="190" t="s">
        <v>177</v>
      </c>
      <c r="K26" s="186">
        <v>92996</v>
      </c>
    </row>
    <row r="27" spans="1:11" s="45" customFormat="1" ht="11.25">
      <c r="A27" s="150" t="s">
        <v>149</v>
      </c>
      <c r="B27" s="197" t="s">
        <v>240</v>
      </c>
      <c r="C27" s="47">
        <v>250</v>
      </c>
      <c r="D27" s="46" t="s">
        <v>1</v>
      </c>
      <c r="E27" s="191">
        <f t="shared" si="4"/>
        <v>5.761499999999999</v>
      </c>
      <c r="F27" s="191">
        <f t="shared" si="1"/>
        <v>32.6485</v>
      </c>
      <c r="G27" s="3">
        <v>38.41</v>
      </c>
      <c r="H27" s="29">
        <f t="shared" si="5"/>
        <v>9602.5</v>
      </c>
      <c r="I27" s="174">
        <f t="shared" si="3"/>
        <v>0.021578248976109018</v>
      </c>
      <c r="J27" s="151" t="s">
        <v>177</v>
      </c>
      <c r="K27" s="152">
        <v>92990</v>
      </c>
    </row>
    <row r="28" spans="1:11" s="183" customFormat="1" ht="11.25">
      <c r="A28" s="150" t="s">
        <v>150</v>
      </c>
      <c r="B28" s="197" t="s">
        <v>324</v>
      </c>
      <c r="C28" s="83">
        <v>750</v>
      </c>
      <c r="D28" s="124" t="s">
        <v>1</v>
      </c>
      <c r="E28" s="191">
        <f t="shared" si="4"/>
        <v>5.761499999999999</v>
      </c>
      <c r="F28" s="191">
        <f t="shared" si="1"/>
        <v>32.6485</v>
      </c>
      <c r="G28" s="3">
        <v>38.41</v>
      </c>
      <c r="H28" s="3">
        <f t="shared" si="5"/>
        <v>28807.499999999996</v>
      </c>
      <c r="I28" s="174">
        <f t="shared" si="3"/>
        <v>0.06473474692832705</v>
      </c>
      <c r="J28" s="153" t="s">
        <v>177</v>
      </c>
      <c r="K28" s="152">
        <v>92990</v>
      </c>
    </row>
    <row r="29" spans="1:11" s="183" customFormat="1" ht="11.25">
      <c r="A29" s="150" t="s">
        <v>317</v>
      </c>
      <c r="B29" s="197" t="s">
        <v>325</v>
      </c>
      <c r="C29" s="83">
        <v>250</v>
      </c>
      <c r="D29" s="124" t="s">
        <v>1</v>
      </c>
      <c r="E29" s="191">
        <f t="shared" si="4"/>
        <v>5.761499999999999</v>
      </c>
      <c r="F29" s="191">
        <f t="shared" si="1"/>
        <v>32.6485</v>
      </c>
      <c r="G29" s="3">
        <v>38.41</v>
      </c>
      <c r="H29" s="3">
        <f t="shared" si="5"/>
        <v>9602.5</v>
      </c>
      <c r="I29" s="174">
        <f t="shared" si="3"/>
        <v>0.021578248976109018</v>
      </c>
      <c r="J29" s="153" t="s">
        <v>177</v>
      </c>
      <c r="K29" s="152">
        <v>92990</v>
      </c>
    </row>
    <row r="30" spans="1:11" s="45" customFormat="1" ht="11.25">
      <c r="A30" s="150" t="s">
        <v>318</v>
      </c>
      <c r="B30" s="197" t="s">
        <v>326</v>
      </c>
      <c r="C30" s="41">
        <v>250</v>
      </c>
      <c r="D30" s="40" t="s">
        <v>1</v>
      </c>
      <c r="E30" s="191">
        <f t="shared" si="4"/>
        <v>3.1275</v>
      </c>
      <c r="F30" s="191">
        <f t="shared" si="1"/>
        <v>17.7225</v>
      </c>
      <c r="G30" s="3">
        <v>20.85</v>
      </c>
      <c r="H30" s="19">
        <f t="shared" si="5"/>
        <v>5212.5</v>
      </c>
      <c r="I30" s="174">
        <f t="shared" si="3"/>
        <v>0.011713264544438245</v>
      </c>
      <c r="J30" s="153" t="s">
        <v>177</v>
      </c>
      <c r="K30" s="154">
        <v>92986</v>
      </c>
    </row>
    <row r="31" spans="1:11" s="183" customFormat="1" ht="11.25">
      <c r="A31" s="150" t="s">
        <v>333</v>
      </c>
      <c r="B31" s="197" t="s">
        <v>327</v>
      </c>
      <c r="C31" s="180">
        <v>780</v>
      </c>
      <c r="D31" s="181" t="s">
        <v>1</v>
      </c>
      <c r="E31" s="191">
        <f aca="true" t="shared" si="6" ref="E31:E36">G31*0.15</f>
        <v>4.1805</v>
      </c>
      <c r="F31" s="191">
        <f t="shared" si="1"/>
        <v>23.6895</v>
      </c>
      <c r="G31" s="2">
        <v>27.87</v>
      </c>
      <c r="H31" s="2">
        <f aca="true" t="shared" si="7" ref="H31:H36">G31*C31</f>
        <v>21738.600000000002</v>
      </c>
      <c r="I31" s="174">
        <f t="shared" si="3"/>
        <v>0.04884987484426384</v>
      </c>
      <c r="J31" s="190" t="s">
        <v>177</v>
      </c>
      <c r="K31" s="186">
        <v>92988</v>
      </c>
    </row>
    <row r="32" spans="1:11" s="183" customFormat="1" ht="11.25">
      <c r="A32" s="150" t="s">
        <v>334</v>
      </c>
      <c r="B32" s="197" t="s">
        <v>328</v>
      </c>
      <c r="C32" s="180">
        <v>260</v>
      </c>
      <c r="D32" s="181" t="s">
        <v>1</v>
      </c>
      <c r="E32" s="191">
        <f t="shared" si="6"/>
        <v>4.1805</v>
      </c>
      <c r="F32" s="191">
        <f t="shared" si="1"/>
        <v>23.6895</v>
      </c>
      <c r="G32" s="2">
        <v>27.87</v>
      </c>
      <c r="H32" s="2">
        <f t="shared" si="7"/>
        <v>7246.2</v>
      </c>
      <c r="I32" s="174">
        <f t="shared" si="3"/>
        <v>0.01628329161475461</v>
      </c>
      <c r="J32" s="190" t="s">
        <v>177</v>
      </c>
      <c r="K32" s="186">
        <v>92988</v>
      </c>
    </row>
    <row r="33" spans="1:11" s="45" customFormat="1" ht="11.25">
      <c r="A33" s="150" t="s">
        <v>335</v>
      </c>
      <c r="B33" s="197" t="s">
        <v>329</v>
      </c>
      <c r="C33" s="47">
        <v>260</v>
      </c>
      <c r="D33" s="46" t="s">
        <v>1</v>
      </c>
      <c r="E33" s="191">
        <f t="shared" si="6"/>
        <v>2.4164999999999996</v>
      </c>
      <c r="F33" s="191">
        <f t="shared" si="1"/>
        <v>13.693499999999998</v>
      </c>
      <c r="G33" s="3">
        <v>16.11</v>
      </c>
      <c r="H33" s="29">
        <f t="shared" si="7"/>
        <v>4188.599999999999</v>
      </c>
      <c r="I33" s="174">
        <f t="shared" si="3"/>
        <v>0.009412408608313483</v>
      </c>
      <c r="J33" s="151" t="s">
        <v>177</v>
      </c>
      <c r="K33" s="152">
        <v>92984</v>
      </c>
    </row>
    <row r="34" spans="1:11" s="183" customFormat="1" ht="11.25">
      <c r="A34" s="150" t="s">
        <v>336</v>
      </c>
      <c r="B34" s="197" t="s">
        <v>330</v>
      </c>
      <c r="C34" s="83">
        <v>780</v>
      </c>
      <c r="D34" s="124" t="s">
        <v>1</v>
      </c>
      <c r="E34" s="191">
        <f t="shared" si="6"/>
        <v>3.1275</v>
      </c>
      <c r="F34" s="191">
        <f t="shared" si="1"/>
        <v>17.7225</v>
      </c>
      <c r="G34" s="3">
        <v>20.85</v>
      </c>
      <c r="H34" s="3">
        <f t="shared" si="7"/>
        <v>16263.000000000002</v>
      </c>
      <c r="I34" s="174">
        <f t="shared" si="3"/>
        <v>0.03654538537864733</v>
      </c>
      <c r="J34" s="153" t="s">
        <v>177</v>
      </c>
      <c r="K34" s="187">
        <v>92986</v>
      </c>
    </row>
    <row r="35" spans="1:11" s="183" customFormat="1" ht="11.25">
      <c r="A35" s="150" t="s">
        <v>337</v>
      </c>
      <c r="B35" s="197" t="s">
        <v>331</v>
      </c>
      <c r="C35" s="83">
        <v>260</v>
      </c>
      <c r="D35" s="124" t="s">
        <v>1</v>
      </c>
      <c r="E35" s="191">
        <f t="shared" si="6"/>
        <v>3.1275</v>
      </c>
      <c r="F35" s="191">
        <f t="shared" si="1"/>
        <v>17.7225</v>
      </c>
      <c r="G35" s="3">
        <v>20.85</v>
      </c>
      <c r="H35" s="3">
        <f t="shared" si="7"/>
        <v>5421</v>
      </c>
      <c r="I35" s="174">
        <f t="shared" si="3"/>
        <v>0.012181795126215776</v>
      </c>
      <c r="J35" s="153" t="s">
        <v>177</v>
      </c>
      <c r="K35" s="187">
        <v>92986</v>
      </c>
    </row>
    <row r="36" spans="1:11" s="45" customFormat="1" ht="11.25">
      <c r="A36" s="150" t="s">
        <v>338</v>
      </c>
      <c r="B36" s="197" t="s">
        <v>332</v>
      </c>
      <c r="C36" s="41">
        <v>260</v>
      </c>
      <c r="D36" s="40" t="s">
        <v>1</v>
      </c>
      <c r="E36" s="191">
        <f t="shared" si="6"/>
        <v>1.449</v>
      </c>
      <c r="F36" s="191">
        <f t="shared" si="1"/>
        <v>8.211</v>
      </c>
      <c r="G36" s="3">
        <v>9.66</v>
      </c>
      <c r="H36" s="19">
        <f t="shared" si="7"/>
        <v>2511.6</v>
      </c>
      <c r="I36" s="174">
        <f t="shared" si="3"/>
        <v>0.005643939612433784</v>
      </c>
      <c r="J36" s="153" t="s">
        <v>177</v>
      </c>
      <c r="K36" s="154">
        <v>92982</v>
      </c>
    </row>
    <row r="37" spans="1:236" s="127" customFormat="1" ht="12" customHeight="1">
      <c r="A37" s="139">
        <v>5</v>
      </c>
      <c r="B37" s="140" t="s">
        <v>242</v>
      </c>
      <c r="C37" s="141"/>
      <c r="D37" s="142" t="s">
        <v>176</v>
      </c>
      <c r="E37" s="141"/>
      <c r="F37" s="140"/>
      <c r="G37" s="143"/>
      <c r="H37" s="143"/>
      <c r="I37" s="143"/>
      <c r="J37" s="145"/>
      <c r="K37" s="145"/>
      <c r="L37" s="145"/>
      <c r="M37" s="145"/>
      <c r="N37" s="145"/>
      <c r="O37" s="145"/>
      <c r="P37" s="146"/>
      <c r="Q37" s="147"/>
      <c r="R37" s="148"/>
      <c r="S37" s="149"/>
      <c r="T37" s="149"/>
      <c r="U37" s="145"/>
      <c r="V37" s="145"/>
      <c r="W37" s="145"/>
      <c r="X37" s="145"/>
      <c r="Y37" s="146"/>
      <c r="Z37" s="147"/>
      <c r="AA37" s="148"/>
      <c r="AB37" s="149"/>
      <c r="AC37" s="149"/>
      <c r="AD37" s="145"/>
      <c r="AE37" s="145"/>
      <c r="AF37" s="145"/>
      <c r="AG37" s="145"/>
      <c r="AH37" s="146"/>
      <c r="AI37" s="147"/>
      <c r="AJ37" s="148"/>
      <c r="AK37" s="149"/>
      <c r="AL37" s="149"/>
      <c r="AM37" s="145"/>
      <c r="AN37" s="145"/>
      <c r="AO37" s="145"/>
      <c r="AP37" s="145"/>
      <c r="AQ37" s="146"/>
      <c r="AR37" s="147"/>
      <c r="AS37" s="148"/>
      <c r="AT37" s="149"/>
      <c r="AU37" s="149"/>
      <c r="AV37" s="145"/>
      <c r="AW37" s="145"/>
      <c r="AX37" s="145"/>
      <c r="AY37" s="145"/>
      <c r="AZ37" s="146"/>
      <c r="BA37" s="147"/>
      <c r="BB37" s="148"/>
      <c r="BC37" s="149"/>
      <c r="BD37" s="149"/>
      <c r="BE37" s="145"/>
      <c r="BF37" s="145"/>
      <c r="BG37" s="145"/>
      <c r="BH37" s="145"/>
      <c r="BI37" s="146"/>
      <c r="BJ37" s="147"/>
      <c r="BK37" s="148"/>
      <c r="BL37" s="149"/>
      <c r="BM37" s="149"/>
      <c r="BN37" s="145"/>
      <c r="BO37" s="145"/>
      <c r="BP37" s="145"/>
      <c r="BQ37" s="145"/>
      <c r="BR37" s="146"/>
      <c r="BS37" s="147"/>
      <c r="BT37" s="148"/>
      <c r="BU37" s="149"/>
      <c r="BV37" s="149"/>
      <c r="BW37" s="145"/>
      <c r="BX37" s="145"/>
      <c r="BY37" s="145"/>
      <c r="BZ37" s="145"/>
      <c r="CA37" s="146"/>
      <c r="CB37" s="147"/>
      <c r="CC37" s="148"/>
      <c r="CD37" s="149"/>
      <c r="CE37" s="149"/>
      <c r="CF37" s="145"/>
      <c r="CG37" s="145"/>
      <c r="CH37" s="145"/>
      <c r="CI37" s="145"/>
      <c r="CJ37" s="146"/>
      <c r="CK37" s="147"/>
      <c r="CL37" s="148"/>
      <c r="CM37" s="149"/>
      <c r="CN37" s="149"/>
      <c r="CO37" s="145"/>
      <c r="CP37" s="145"/>
      <c r="CQ37" s="145"/>
      <c r="CR37" s="145"/>
      <c r="CS37" s="146"/>
      <c r="CT37" s="147"/>
      <c r="CU37" s="148"/>
      <c r="CV37" s="149"/>
      <c r="CW37" s="149"/>
      <c r="CX37" s="145"/>
      <c r="CY37" s="145"/>
      <c r="CZ37" s="145"/>
      <c r="DA37" s="145"/>
      <c r="DB37" s="146"/>
      <c r="DC37" s="147"/>
      <c r="DD37" s="148"/>
      <c r="DE37" s="149"/>
      <c r="DF37" s="149"/>
      <c r="DG37" s="145"/>
      <c r="DH37" s="145"/>
      <c r="DI37" s="145"/>
      <c r="DJ37" s="145"/>
      <c r="DK37" s="146"/>
      <c r="DL37" s="147"/>
      <c r="DM37" s="148"/>
      <c r="DN37" s="149"/>
      <c r="DO37" s="149"/>
      <c r="DP37" s="145"/>
      <c r="DQ37" s="145"/>
      <c r="DR37" s="145"/>
      <c r="DS37" s="145"/>
      <c r="DT37" s="146"/>
      <c r="DU37" s="147"/>
      <c r="DV37" s="148"/>
      <c r="DW37" s="149"/>
      <c r="DX37" s="149"/>
      <c r="DY37" s="145"/>
      <c r="DZ37" s="145"/>
      <c r="EA37" s="145"/>
      <c r="EB37" s="145"/>
      <c r="EC37" s="146"/>
      <c r="ED37" s="147"/>
      <c r="EE37" s="148"/>
      <c r="EF37" s="149"/>
      <c r="EG37" s="149"/>
      <c r="EH37" s="145"/>
      <c r="EI37" s="145"/>
      <c r="EJ37" s="145"/>
      <c r="EK37" s="145"/>
      <c r="EL37" s="146"/>
      <c r="EM37" s="147"/>
      <c r="EN37" s="148"/>
      <c r="EO37" s="149"/>
      <c r="EP37" s="149"/>
      <c r="EQ37" s="145"/>
      <c r="ER37" s="145"/>
      <c r="ES37" s="145"/>
      <c r="ET37" s="145"/>
      <c r="EU37" s="146"/>
      <c r="EV37" s="147"/>
      <c r="EW37" s="148"/>
      <c r="EX37" s="149"/>
      <c r="EY37" s="149"/>
      <c r="EZ37" s="145"/>
      <c r="FA37" s="145"/>
      <c r="FB37" s="145"/>
      <c r="FC37" s="145"/>
      <c r="FD37" s="146"/>
      <c r="FE37" s="147"/>
      <c r="FF37" s="148"/>
      <c r="FG37" s="149"/>
      <c r="FH37" s="149"/>
      <c r="FI37" s="145"/>
      <c r="FJ37" s="145"/>
      <c r="FK37" s="145"/>
      <c r="FL37" s="145"/>
      <c r="FM37" s="146"/>
      <c r="FN37" s="147"/>
      <c r="FO37" s="148"/>
      <c r="FP37" s="149"/>
      <c r="FQ37" s="149"/>
      <c r="FR37" s="145"/>
      <c r="FS37" s="145"/>
      <c r="FT37" s="145"/>
      <c r="FU37" s="145"/>
      <c r="FV37" s="146"/>
      <c r="FW37" s="147"/>
      <c r="FX37" s="148"/>
      <c r="FY37" s="149"/>
      <c r="FZ37" s="149"/>
      <c r="GA37" s="145"/>
      <c r="GB37" s="145"/>
      <c r="GC37" s="145"/>
      <c r="GD37" s="145"/>
      <c r="GE37" s="146"/>
      <c r="GF37" s="147"/>
      <c r="GG37" s="148"/>
      <c r="GH37" s="149"/>
      <c r="GI37" s="149"/>
      <c r="GJ37" s="145"/>
      <c r="GK37" s="145"/>
      <c r="GL37" s="145"/>
      <c r="GM37" s="145"/>
      <c r="GN37" s="146"/>
      <c r="GO37" s="147"/>
      <c r="GP37" s="148"/>
      <c r="GQ37" s="149"/>
      <c r="GR37" s="149"/>
      <c r="GS37" s="145"/>
      <c r="GT37" s="145"/>
      <c r="GU37" s="145"/>
      <c r="GV37" s="145"/>
      <c r="GW37" s="146"/>
      <c r="GX37" s="147"/>
      <c r="GY37" s="148"/>
      <c r="GZ37" s="149"/>
      <c r="HA37" s="149"/>
      <c r="HB37" s="145"/>
      <c r="HC37" s="145"/>
      <c r="HD37" s="145"/>
      <c r="HE37" s="145"/>
      <c r="HF37" s="146"/>
      <c r="HG37" s="147"/>
      <c r="HH37" s="148"/>
      <c r="HI37" s="149"/>
      <c r="HJ37" s="149"/>
      <c r="HK37" s="145"/>
      <c r="HL37" s="145"/>
      <c r="HM37" s="145"/>
      <c r="HN37" s="145"/>
      <c r="HO37" s="146"/>
      <c r="HP37" s="147"/>
      <c r="HQ37" s="148"/>
      <c r="HR37" s="149"/>
      <c r="HS37" s="149"/>
      <c r="HT37" s="145"/>
      <c r="HU37" s="145"/>
      <c r="HV37" s="145"/>
      <c r="HW37" s="145"/>
      <c r="HX37" s="146"/>
      <c r="HY37" s="147"/>
      <c r="HZ37" s="148"/>
      <c r="IA37" s="149"/>
      <c r="IB37" s="149"/>
    </row>
    <row r="38" spans="1:11" s="1" customFormat="1" ht="33.75">
      <c r="A38" s="196" t="s">
        <v>50</v>
      </c>
      <c r="B38" s="86" t="s">
        <v>339</v>
      </c>
      <c r="C38" s="198">
        <v>1</v>
      </c>
      <c r="D38" s="199" t="s">
        <v>199</v>
      </c>
      <c r="E38" s="191">
        <v>10000</v>
      </c>
      <c r="F38" s="191">
        <v>129760</v>
      </c>
      <c r="G38" s="3">
        <f>F38+E38</f>
        <v>139760</v>
      </c>
      <c r="H38" s="3">
        <f>G38*C38</f>
        <v>139760</v>
      </c>
      <c r="I38" s="277">
        <f>H38/$H$59</f>
        <v>0.31406155448070777</v>
      </c>
      <c r="J38" s="91" t="s">
        <v>178</v>
      </c>
      <c r="K38" s="200"/>
    </row>
    <row r="39" spans="1:11" s="1" customFormat="1" ht="24" customHeight="1">
      <c r="A39" s="196" t="s">
        <v>51</v>
      </c>
      <c r="B39" s="197" t="s">
        <v>203</v>
      </c>
      <c r="C39" s="198">
        <v>40</v>
      </c>
      <c r="D39" s="199" t="s">
        <v>204</v>
      </c>
      <c r="E39" s="191">
        <f>G39*0.15</f>
        <v>0.5115</v>
      </c>
      <c r="F39" s="191">
        <f>G39*0.85</f>
        <v>2.8985</v>
      </c>
      <c r="G39" s="3">
        <v>3.41</v>
      </c>
      <c r="H39" s="3">
        <f>G39*C39</f>
        <v>136.4</v>
      </c>
      <c r="I39" s="174">
        <f>H39/$H$59</f>
        <v>0.00030651113359450875</v>
      </c>
      <c r="J39" s="91" t="s">
        <v>177</v>
      </c>
      <c r="K39" s="200" t="s">
        <v>205</v>
      </c>
    </row>
    <row r="40" spans="1:11" s="1" customFormat="1" ht="24" customHeight="1">
      <c r="A40" s="196" t="s">
        <v>52</v>
      </c>
      <c r="B40" s="197" t="s">
        <v>206</v>
      </c>
      <c r="C40" s="198">
        <v>1.2</v>
      </c>
      <c r="D40" s="199" t="s">
        <v>207</v>
      </c>
      <c r="E40" s="191">
        <f>0.15*355.72</f>
        <v>53.358000000000004</v>
      </c>
      <c r="F40" s="191">
        <f>0.85*355.72</f>
        <v>302.362</v>
      </c>
      <c r="G40" s="3">
        <f>E40+F40</f>
        <v>355.72</v>
      </c>
      <c r="H40" s="3">
        <f>G40*C40</f>
        <v>426.86400000000003</v>
      </c>
      <c r="I40" s="174">
        <f>H40/$H$59</f>
        <v>0.0009592270420138298</v>
      </c>
      <c r="J40" s="91" t="s">
        <v>177</v>
      </c>
      <c r="K40" s="200" t="s">
        <v>208</v>
      </c>
    </row>
    <row r="41" spans="1:11" s="1" customFormat="1" ht="24" customHeight="1">
      <c r="A41" s="196" t="s">
        <v>53</v>
      </c>
      <c r="B41" s="197" t="s">
        <v>209</v>
      </c>
      <c r="C41" s="198">
        <v>2000</v>
      </c>
      <c r="D41" s="199" t="s">
        <v>180</v>
      </c>
      <c r="E41" s="191">
        <f>7.84*0.15</f>
        <v>1.176</v>
      </c>
      <c r="F41" s="191">
        <f>7.84*0.85</f>
        <v>6.664</v>
      </c>
      <c r="G41" s="3">
        <f>E41+F41</f>
        <v>7.84</v>
      </c>
      <c r="H41" s="3">
        <f>G41*C41</f>
        <v>15680</v>
      </c>
      <c r="I41" s="174">
        <f>H41/$H$59</f>
        <v>0.03523529746892886</v>
      </c>
      <c r="J41" s="91" t="s">
        <v>177</v>
      </c>
      <c r="K41" s="200" t="s">
        <v>210</v>
      </c>
    </row>
    <row r="42" spans="1:11" s="1" customFormat="1" ht="11.25">
      <c r="A42" s="139">
        <v>6</v>
      </c>
      <c r="B42" s="192" t="s">
        <v>211</v>
      </c>
      <c r="C42" s="193"/>
      <c r="D42" s="194"/>
      <c r="E42" s="194"/>
      <c r="F42" s="194"/>
      <c r="G42" s="195"/>
      <c r="H42" s="195"/>
      <c r="I42" s="195"/>
      <c r="J42" s="177"/>
      <c r="K42" s="178"/>
    </row>
    <row r="43" spans="1:11" s="183" customFormat="1" ht="11.25">
      <c r="A43" s="201" t="s">
        <v>59</v>
      </c>
      <c r="B43" s="189" t="s">
        <v>213</v>
      </c>
      <c r="C43" s="202">
        <f>200*(0.6*1.2)</f>
        <v>144</v>
      </c>
      <c r="D43" s="203" t="s">
        <v>214</v>
      </c>
      <c r="E43" s="2">
        <f>26.35*0.15</f>
        <v>3.9525</v>
      </c>
      <c r="F43" s="2">
        <f>26.35*0.85</f>
        <v>22.3975</v>
      </c>
      <c r="G43" s="2">
        <f>E43+F43</f>
        <v>26.35</v>
      </c>
      <c r="H43" s="2">
        <f aca="true" t="shared" si="8" ref="H43:H49">G43*C43</f>
        <v>3794.4</v>
      </c>
      <c r="I43" s="174">
        <f aca="true" t="shared" si="9" ref="I43:I49">H43/$H$59</f>
        <v>0.00852658244362906</v>
      </c>
      <c r="J43" s="204" t="s">
        <v>177</v>
      </c>
      <c r="K43" s="205" t="s">
        <v>215</v>
      </c>
    </row>
    <row r="44" spans="1:11" s="1" customFormat="1" ht="11.25">
      <c r="A44" s="201" t="s">
        <v>106</v>
      </c>
      <c r="B44" s="197" t="s">
        <v>217</v>
      </c>
      <c r="C44" s="198">
        <v>2</v>
      </c>
      <c r="D44" s="199" t="s">
        <v>214</v>
      </c>
      <c r="E44" s="2">
        <f>26.35*0.15</f>
        <v>3.9525</v>
      </c>
      <c r="F44" s="2">
        <f>26.35*0.85</f>
        <v>22.3975</v>
      </c>
      <c r="G44" s="2">
        <v>13.43</v>
      </c>
      <c r="H44" s="2">
        <f>G44*C44</f>
        <v>26.86</v>
      </c>
      <c r="I44" s="174">
        <f t="shared" si="9"/>
        <v>6.035842410812686E-05</v>
      </c>
      <c r="J44" s="204" t="s">
        <v>177</v>
      </c>
      <c r="K44" s="205" t="s">
        <v>215</v>
      </c>
    </row>
    <row r="45" spans="1:11" s="183" customFormat="1" ht="13.5" customHeight="1">
      <c r="A45" s="201" t="s">
        <v>121</v>
      </c>
      <c r="B45" s="206" t="s">
        <v>219</v>
      </c>
      <c r="C45" s="202">
        <f>SUM(C43:C44)*1.2</f>
        <v>175.2</v>
      </c>
      <c r="D45" s="203" t="s">
        <v>214</v>
      </c>
      <c r="E45" s="207">
        <f>41.42*0.15</f>
        <v>6.213</v>
      </c>
      <c r="F45" s="207">
        <f>41.42*0.85</f>
        <v>35.207</v>
      </c>
      <c r="G45" s="2">
        <f>E45+F45</f>
        <v>41.42</v>
      </c>
      <c r="H45" s="2">
        <f t="shared" si="8"/>
        <v>7256.784</v>
      </c>
      <c r="I45" s="174">
        <f t="shared" si="9"/>
        <v>0.01630707544054614</v>
      </c>
      <c r="J45" s="204" t="s">
        <v>177</v>
      </c>
      <c r="K45" s="205" t="s">
        <v>220</v>
      </c>
    </row>
    <row r="46" spans="1:11" s="183" customFormat="1" ht="13.5" customHeight="1">
      <c r="A46" s="201" t="s">
        <v>123</v>
      </c>
      <c r="B46" s="189" t="s">
        <v>222</v>
      </c>
      <c r="C46" s="202">
        <f>0.1*1.1*1.1*6</f>
        <v>0.7260000000000002</v>
      </c>
      <c r="D46" s="203" t="s">
        <v>214</v>
      </c>
      <c r="E46" s="207">
        <v>23.48</v>
      </c>
      <c r="F46" s="207">
        <v>89.44</v>
      </c>
      <c r="G46" s="2">
        <f>E46+F46</f>
        <v>112.92</v>
      </c>
      <c r="H46" s="2">
        <f t="shared" si="8"/>
        <v>81.97992000000002</v>
      </c>
      <c r="I46" s="174">
        <f t="shared" si="9"/>
        <v>0.0001842211012550377</v>
      </c>
      <c r="J46" s="204" t="s">
        <v>179</v>
      </c>
      <c r="K46" s="205" t="s">
        <v>223</v>
      </c>
    </row>
    <row r="47" spans="1:11" s="1" customFormat="1" ht="21" customHeight="1">
      <c r="A47" s="201" t="s">
        <v>314</v>
      </c>
      <c r="B47" s="197" t="s">
        <v>225</v>
      </c>
      <c r="C47" s="198">
        <f>0.25*0.4*200</f>
        <v>20</v>
      </c>
      <c r="D47" s="199" t="s">
        <v>214</v>
      </c>
      <c r="E47" s="3">
        <f>G47*0.3</f>
        <v>87.879</v>
      </c>
      <c r="F47" s="3">
        <f>G47*0.7</f>
        <v>205.051</v>
      </c>
      <c r="G47" s="3">
        <v>292.93</v>
      </c>
      <c r="H47" s="3">
        <f t="shared" si="8"/>
        <v>5858.6</v>
      </c>
      <c r="I47" s="174">
        <f t="shared" si="9"/>
        <v>0.01316514756068027</v>
      </c>
      <c r="J47" s="91" t="s">
        <v>177</v>
      </c>
      <c r="K47" s="200" t="s">
        <v>226</v>
      </c>
    </row>
    <row r="48" spans="1:11" s="183" customFormat="1" ht="13.5" customHeight="1">
      <c r="A48" s="201" t="s">
        <v>315</v>
      </c>
      <c r="B48" s="189" t="s">
        <v>228</v>
      </c>
      <c r="C48" s="202">
        <f>C47*0.5</f>
        <v>10</v>
      </c>
      <c r="D48" s="203" t="s">
        <v>214</v>
      </c>
      <c r="E48" s="2">
        <f>G48*0.15</f>
        <v>12.75</v>
      </c>
      <c r="F48" s="2">
        <f>G48*0.85</f>
        <v>72.25</v>
      </c>
      <c r="G48" s="2">
        <v>85</v>
      </c>
      <c r="H48" s="2">
        <f>G48*C48</f>
        <v>850</v>
      </c>
      <c r="I48" s="174">
        <f t="shared" si="9"/>
        <v>0.0019100767122824957</v>
      </c>
      <c r="J48" s="204" t="s">
        <v>177</v>
      </c>
      <c r="K48" s="205" t="s">
        <v>229</v>
      </c>
    </row>
    <row r="49" spans="1:11" s="1" customFormat="1" ht="12.75" customHeight="1">
      <c r="A49" s="201" t="s">
        <v>316</v>
      </c>
      <c r="B49" s="197" t="s">
        <v>231</v>
      </c>
      <c r="C49" s="198">
        <v>1</v>
      </c>
      <c r="D49" s="199" t="s">
        <v>14</v>
      </c>
      <c r="E49" s="191">
        <f>F49*0.1765</f>
        <v>20.826999999999998</v>
      </c>
      <c r="F49" s="191">
        <v>118</v>
      </c>
      <c r="G49" s="3">
        <f>E49+F49</f>
        <v>138.827</v>
      </c>
      <c r="H49" s="3">
        <f t="shared" si="8"/>
        <v>138.827</v>
      </c>
      <c r="I49" s="174">
        <f t="shared" si="9"/>
        <v>0.00031196496439534356</v>
      </c>
      <c r="J49" s="91" t="s">
        <v>197</v>
      </c>
      <c r="K49" s="200"/>
    </row>
    <row r="50" spans="1:11" s="1" customFormat="1" ht="12.75" customHeight="1">
      <c r="A50" s="208">
        <v>8</v>
      </c>
      <c r="B50" s="208" t="s">
        <v>243</v>
      </c>
      <c r="C50" s="208"/>
      <c r="D50" s="208"/>
      <c r="E50" s="208"/>
      <c r="F50" s="208"/>
      <c r="G50" s="208"/>
      <c r="H50" s="208"/>
      <c r="I50" s="208"/>
      <c r="K50" s="163"/>
    </row>
    <row r="51" spans="1:11" s="183" customFormat="1" ht="12.75" customHeight="1">
      <c r="A51" s="209"/>
      <c r="B51" s="210" t="s">
        <v>232</v>
      </c>
      <c r="C51" s="209"/>
      <c r="D51" s="209"/>
      <c r="E51" s="209"/>
      <c r="F51" s="209"/>
      <c r="G51" s="209"/>
      <c r="H51" s="209"/>
      <c r="I51" s="174"/>
      <c r="K51" s="211"/>
    </row>
    <row r="52" spans="1:11" s="183" customFormat="1" ht="147" customHeight="1">
      <c r="A52" s="212" t="s">
        <v>212</v>
      </c>
      <c r="B52" s="210" t="s">
        <v>341</v>
      </c>
      <c r="C52" s="214">
        <v>1</v>
      </c>
      <c r="D52" s="271" t="s">
        <v>14</v>
      </c>
      <c r="E52" s="215">
        <v>1000</v>
      </c>
      <c r="F52" s="215">
        <v>8002</v>
      </c>
      <c r="G52" s="215">
        <f>F52+E52</f>
        <v>9002</v>
      </c>
      <c r="H52" s="215">
        <f aca="true" t="shared" si="10" ref="H52:H58">G52*C52</f>
        <v>9002</v>
      </c>
      <c r="I52" s="174">
        <f>H52/$H$59</f>
        <v>0.020228835957608268</v>
      </c>
      <c r="J52" s="91" t="s">
        <v>197</v>
      </c>
      <c r="K52" s="216">
        <v>147.01</v>
      </c>
    </row>
    <row r="53" spans="1:11" s="183" customFormat="1" ht="11.25" customHeight="1">
      <c r="A53" s="212" t="s">
        <v>216</v>
      </c>
      <c r="B53" s="26" t="s">
        <v>321</v>
      </c>
      <c r="C53" s="180">
        <v>2</v>
      </c>
      <c r="D53" s="181" t="s">
        <v>14</v>
      </c>
      <c r="E53" s="3">
        <f aca="true" t="shared" si="11" ref="E53:E58">0.15*G53</f>
        <v>46.047000000000004</v>
      </c>
      <c r="F53" s="3">
        <f aca="true" t="shared" si="12" ref="F53:F58">G53*0.85</f>
        <v>260.933</v>
      </c>
      <c r="G53" s="29">
        <v>306.98</v>
      </c>
      <c r="H53" s="29">
        <f t="shared" si="10"/>
        <v>613.96</v>
      </c>
      <c r="I53" s="174">
        <f aca="true" t="shared" si="13" ref="I53:I58">H53/$H$59</f>
        <v>0.001379659645027013</v>
      </c>
      <c r="J53" s="151" t="s">
        <v>177</v>
      </c>
      <c r="K53" s="182" t="s">
        <v>170</v>
      </c>
    </row>
    <row r="54" spans="1:11" s="183" customFormat="1" ht="11.25" customHeight="1">
      <c r="A54" s="212" t="s">
        <v>218</v>
      </c>
      <c r="B54" s="26" t="s">
        <v>261</v>
      </c>
      <c r="C54" s="180">
        <v>2</v>
      </c>
      <c r="D54" s="181" t="s">
        <v>14</v>
      </c>
      <c r="E54" s="3">
        <f t="shared" si="11"/>
        <v>46.047000000000004</v>
      </c>
      <c r="F54" s="3">
        <f t="shared" si="12"/>
        <v>260.933</v>
      </c>
      <c r="G54" s="29">
        <v>306.98</v>
      </c>
      <c r="H54" s="29">
        <f t="shared" si="10"/>
        <v>613.96</v>
      </c>
      <c r="I54" s="174">
        <f t="shared" si="13"/>
        <v>0.001379659645027013</v>
      </c>
      <c r="J54" s="151" t="s">
        <v>177</v>
      </c>
      <c r="K54" s="182" t="s">
        <v>170</v>
      </c>
    </row>
    <row r="55" spans="1:11" s="183" customFormat="1" ht="11.25" customHeight="1">
      <c r="A55" s="212" t="s">
        <v>221</v>
      </c>
      <c r="B55" s="26" t="s">
        <v>151</v>
      </c>
      <c r="C55" s="180">
        <v>1</v>
      </c>
      <c r="D55" s="181" t="s">
        <v>14</v>
      </c>
      <c r="E55" s="3">
        <f t="shared" si="11"/>
        <v>72.18599999999999</v>
      </c>
      <c r="F55" s="3">
        <f t="shared" si="12"/>
        <v>409.054</v>
      </c>
      <c r="G55" s="29">
        <v>481.24</v>
      </c>
      <c r="H55" s="29">
        <f t="shared" si="10"/>
        <v>481.24</v>
      </c>
      <c r="I55" s="174">
        <f t="shared" si="13"/>
        <v>0.0010814180200221508</v>
      </c>
      <c r="J55" s="151" t="s">
        <v>177</v>
      </c>
      <c r="K55" s="182" t="s">
        <v>152</v>
      </c>
    </row>
    <row r="56" spans="1:11" s="183" customFormat="1" ht="11.25" customHeight="1">
      <c r="A56" s="212" t="s">
        <v>224</v>
      </c>
      <c r="B56" s="26" t="s">
        <v>146</v>
      </c>
      <c r="C56" s="180">
        <v>1</v>
      </c>
      <c r="D56" s="181" t="s">
        <v>14</v>
      </c>
      <c r="E56" s="3">
        <f t="shared" si="11"/>
        <v>119.601</v>
      </c>
      <c r="F56" s="3">
        <f t="shared" si="12"/>
        <v>677.739</v>
      </c>
      <c r="G56" s="29">
        <v>797.34</v>
      </c>
      <c r="H56" s="29">
        <f t="shared" si="10"/>
        <v>797.34</v>
      </c>
      <c r="I56" s="174">
        <f t="shared" si="13"/>
        <v>0.001791741842083912</v>
      </c>
      <c r="J56" s="151" t="s">
        <v>177</v>
      </c>
      <c r="K56" s="182" t="s">
        <v>114</v>
      </c>
    </row>
    <row r="57" spans="1:11" s="183" customFormat="1" ht="11.25" customHeight="1">
      <c r="A57" s="212" t="s">
        <v>227</v>
      </c>
      <c r="B57" s="26" t="s">
        <v>319</v>
      </c>
      <c r="C57" s="180">
        <v>1</v>
      </c>
      <c r="D57" s="181" t="s">
        <v>14</v>
      </c>
      <c r="E57" s="3">
        <f t="shared" si="11"/>
        <v>163.578</v>
      </c>
      <c r="F57" s="3">
        <f t="shared" si="12"/>
        <v>926.942</v>
      </c>
      <c r="G57" s="29">
        <v>1090.52</v>
      </c>
      <c r="H57" s="29">
        <f t="shared" si="10"/>
        <v>1090.52</v>
      </c>
      <c r="I57" s="174">
        <f t="shared" si="13"/>
        <v>0.002450561007386244</v>
      </c>
      <c r="J57" s="151" t="s">
        <v>177</v>
      </c>
      <c r="K57" s="182" t="s">
        <v>244</v>
      </c>
    </row>
    <row r="58" spans="1:11" s="183" customFormat="1" ht="11.25" customHeight="1">
      <c r="A58" s="212" t="s">
        <v>230</v>
      </c>
      <c r="B58" s="26" t="s">
        <v>320</v>
      </c>
      <c r="C58" s="180">
        <v>1</v>
      </c>
      <c r="D58" s="181" t="s">
        <v>14</v>
      </c>
      <c r="E58" s="3">
        <f t="shared" si="11"/>
        <v>268.179</v>
      </c>
      <c r="F58" s="3">
        <f t="shared" si="12"/>
        <v>1519.6809999999998</v>
      </c>
      <c r="G58" s="29">
        <v>1787.86</v>
      </c>
      <c r="H58" s="29">
        <f t="shared" si="10"/>
        <v>1787.86</v>
      </c>
      <c r="I58" s="174">
        <f t="shared" si="13"/>
        <v>0.004017587942142803</v>
      </c>
      <c r="J58" s="151" t="s">
        <v>177</v>
      </c>
      <c r="K58" s="182" t="s">
        <v>245</v>
      </c>
    </row>
    <row r="59" spans="1:9" s="157" customFormat="1" ht="12.75">
      <c r="A59" s="304" t="s">
        <v>3</v>
      </c>
      <c r="B59" s="305"/>
      <c r="C59" s="305"/>
      <c r="D59" s="305"/>
      <c r="E59" s="305"/>
      <c r="F59" s="305"/>
      <c r="G59" s="306"/>
      <c r="H59" s="155">
        <f>SUM(H9:H49)</f>
        <v>445008.30492</v>
      </c>
      <c r="I59" s="156">
        <f>I7</f>
        <v>0.9999999999999999</v>
      </c>
    </row>
    <row r="60" spans="1:9" s="157" customFormat="1" ht="12.75">
      <c r="A60" s="304" t="s">
        <v>36</v>
      </c>
      <c r="B60" s="305"/>
      <c r="C60" s="305"/>
      <c r="D60" s="305"/>
      <c r="E60" s="305"/>
      <c r="F60" s="305"/>
      <c r="G60" s="306"/>
      <c r="H60" s="155">
        <f>H59*0.22</f>
        <v>97901.8270824</v>
      </c>
      <c r="I60" s="158">
        <v>0.22</v>
      </c>
    </row>
    <row r="61" spans="1:9" s="157" customFormat="1" ht="13.5" thickBot="1">
      <c r="A61" s="307" t="s">
        <v>4</v>
      </c>
      <c r="B61" s="308"/>
      <c r="C61" s="308"/>
      <c r="D61" s="308"/>
      <c r="E61" s="308"/>
      <c r="F61" s="308"/>
      <c r="G61" s="309"/>
      <c r="H61" s="159">
        <f>H59+H60</f>
        <v>542910.1320024</v>
      </c>
      <c r="I61" s="160"/>
    </row>
    <row r="62" spans="1:9" s="157" customFormat="1" ht="12.75">
      <c r="A62" s="161"/>
      <c r="B62" s="162"/>
      <c r="C62" s="163"/>
      <c r="D62" s="1"/>
      <c r="E62" s="1"/>
      <c r="F62" s="1"/>
      <c r="G62" s="1"/>
      <c r="H62" s="1"/>
      <c r="I62" s="1"/>
    </row>
    <row r="63" spans="1:11" s="172" customFormat="1" ht="12.75">
      <c r="A63" s="164"/>
      <c r="B63" s="165" t="s">
        <v>181</v>
      </c>
      <c r="C63" s="166"/>
      <c r="D63" s="167"/>
      <c r="E63" s="168"/>
      <c r="F63" s="169"/>
      <c r="G63" s="169"/>
      <c r="H63" s="169"/>
      <c r="I63" s="170"/>
      <c r="J63" s="171"/>
      <c r="K63" s="171"/>
    </row>
    <row r="64" spans="1:11" s="172" customFormat="1" ht="23.25" customHeight="1">
      <c r="A64" s="173">
        <v>1</v>
      </c>
      <c r="B64" s="301" t="s">
        <v>182</v>
      </c>
      <c r="C64" s="301"/>
      <c r="D64" s="301"/>
      <c r="E64" s="301"/>
      <c r="F64" s="301"/>
      <c r="G64" s="301"/>
      <c r="H64" s="301"/>
      <c r="I64" s="301"/>
      <c r="J64" s="171"/>
      <c r="K64" s="171"/>
    </row>
    <row r="65" spans="1:11" s="172" customFormat="1" ht="12.75">
      <c r="A65" s="173">
        <v>2</v>
      </c>
      <c r="B65" s="301" t="s">
        <v>183</v>
      </c>
      <c r="C65" s="301"/>
      <c r="D65" s="301"/>
      <c r="E65" s="301"/>
      <c r="F65" s="301"/>
      <c r="G65" s="301"/>
      <c r="H65" s="301"/>
      <c r="I65" s="301"/>
      <c r="J65" s="171"/>
      <c r="K65" s="171"/>
    </row>
    <row r="66" spans="1:11" s="172" customFormat="1" ht="12.75">
      <c r="A66" s="173">
        <v>3</v>
      </c>
      <c r="B66" s="301" t="s">
        <v>184</v>
      </c>
      <c r="C66" s="301"/>
      <c r="D66" s="301"/>
      <c r="E66" s="301"/>
      <c r="F66" s="301"/>
      <c r="G66" s="301"/>
      <c r="H66" s="301"/>
      <c r="I66" s="301"/>
      <c r="J66" s="171"/>
      <c r="K66" s="171"/>
    </row>
    <row r="67" spans="1:11" s="172" customFormat="1" ht="12.75">
      <c r="A67" s="173">
        <v>4</v>
      </c>
      <c r="B67" s="301" t="s">
        <v>185</v>
      </c>
      <c r="C67" s="301"/>
      <c r="D67" s="301"/>
      <c r="E67" s="301"/>
      <c r="F67" s="301"/>
      <c r="G67" s="301"/>
      <c r="H67" s="301"/>
      <c r="I67" s="301"/>
      <c r="J67" s="171"/>
      <c r="K67" s="171"/>
    </row>
    <row r="68" spans="1:11" s="172" customFormat="1" ht="27" customHeight="1">
      <c r="A68" s="173">
        <v>5</v>
      </c>
      <c r="B68" s="301" t="s">
        <v>186</v>
      </c>
      <c r="C68" s="301"/>
      <c r="D68" s="301"/>
      <c r="E68" s="301"/>
      <c r="F68" s="301"/>
      <c r="G68" s="301"/>
      <c r="H68" s="301"/>
      <c r="I68" s="301"/>
      <c r="J68" s="169"/>
      <c r="K68" s="170"/>
    </row>
    <row r="69" spans="1:11" s="172" customFormat="1" ht="30" customHeight="1">
      <c r="A69" s="173">
        <v>6</v>
      </c>
      <c r="B69" s="301" t="s">
        <v>187</v>
      </c>
      <c r="C69" s="301"/>
      <c r="D69" s="301"/>
      <c r="E69" s="301"/>
      <c r="F69" s="301"/>
      <c r="G69" s="301"/>
      <c r="H69" s="301"/>
      <c r="I69" s="301"/>
      <c r="J69" s="169"/>
      <c r="K69" s="170"/>
    </row>
    <row r="70" spans="1:11" s="172" customFormat="1" ht="21" customHeight="1">
      <c r="A70" s="173">
        <v>7</v>
      </c>
      <c r="B70" s="301" t="s">
        <v>188</v>
      </c>
      <c r="C70" s="301"/>
      <c r="D70" s="301"/>
      <c r="E70" s="301"/>
      <c r="F70" s="301"/>
      <c r="G70" s="301"/>
      <c r="H70" s="301"/>
      <c r="I70" s="301"/>
      <c r="J70" s="169"/>
      <c r="K70" s="170"/>
    </row>
    <row r="71" spans="1:11" s="172" customFormat="1" ht="12.75">
      <c r="A71" s="173">
        <v>8</v>
      </c>
      <c r="B71" s="301" t="s">
        <v>189</v>
      </c>
      <c r="C71" s="301"/>
      <c r="D71" s="301"/>
      <c r="E71" s="301"/>
      <c r="F71" s="301"/>
      <c r="G71" s="301"/>
      <c r="H71" s="301"/>
      <c r="I71" s="301"/>
      <c r="J71" s="169"/>
      <c r="K71" s="170"/>
    </row>
    <row r="72" spans="1:9" s="157" customFormat="1" ht="12.75" customHeight="1">
      <c r="A72" s="161"/>
      <c r="B72" s="299"/>
      <c r="C72" s="299"/>
      <c r="D72" s="299"/>
      <c r="E72" s="299"/>
      <c r="F72" s="299"/>
      <c r="G72" s="299"/>
      <c r="H72" s="299"/>
      <c r="I72" s="299"/>
    </row>
    <row r="73" spans="1:9" ht="12.75" customHeight="1">
      <c r="A73" s="14"/>
      <c r="B73" s="300"/>
      <c r="C73" s="300"/>
      <c r="D73" s="300"/>
      <c r="E73" s="300"/>
      <c r="F73" s="300"/>
      <c r="G73" s="300"/>
      <c r="H73" s="300"/>
      <c r="I73" s="300"/>
    </row>
    <row r="74" spans="1:9" ht="12.75" customHeight="1">
      <c r="A74" s="14"/>
      <c r="B74" s="217" t="s">
        <v>190</v>
      </c>
      <c r="C74" s="12"/>
      <c r="D74" s="11"/>
      <c r="E74" s="11"/>
      <c r="F74" s="11"/>
      <c r="G74" s="11"/>
      <c r="H74" s="11"/>
      <c r="I74" s="11"/>
    </row>
    <row r="75" spans="1:9" ht="12.75">
      <c r="A75" s="14"/>
      <c r="B75" s="217" t="s">
        <v>191</v>
      </c>
      <c r="C75" s="12"/>
      <c r="D75" s="11"/>
      <c r="E75" s="11"/>
      <c r="F75" s="11"/>
      <c r="G75" s="11"/>
      <c r="H75" s="11"/>
      <c r="I75" s="11"/>
    </row>
    <row r="76" spans="1:9" ht="12.75">
      <c r="A76" s="14"/>
      <c r="B76" s="217" t="s">
        <v>192</v>
      </c>
      <c r="C76" s="12"/>
      <c r="D76" s="11"/>
      <c r="E76" s="11"/>
      <c r="F76" s="11"/>
      <c r="G76" s="11"/>
      <c r="H76" s="11"/>
      <c r="I76" s="11"/>
    </row>
    <row r="77" spans="1:9" ht="12.75">
      <c r="A77" s="14"/>
      <c r="B77" s="217" t="s">
        <v>193</v>
      </c>
      <c r="C77" s="12"/>
      <c r="D77" s="11"/>
      <c r="E77" s="11"/>
      <c r="F77" s="11"/>
      <c r="G77" s="11"/>
      <c r="H77" s="11"/>
      <c r="I77" s="11"/>
    </row>
    <row r="89" ht="165.75">
      <c r="B89" s="9" t="s">
        <v>342</v>
      </c>
    </row>
  </sheetData>
  <sheetProtection/>
  <mergeCells count="19">
    <mergeCell ref="C1:I1"/>
    <mergeCell ref="C2:I2"/>
    <mergeCell ref="D3:E3"/>
    <mergeCell ref="C4:E4"/>
    <mergeCell ref="G4:I4"/>
    <mergeCell ref="A5:I5"/>
    <mergeCell ref="A59:G59"/>
    <mergeCell ref="A60:G60"/>
    <mergeCell ref="A61:G61"/>
    <mergeCell ref="B64:I64"/>
    <mergeCell ref="B65:I65"/>
    <mergeCell ref="B72:I72"/>
    <mergeCell ref="B73:I73"/>
    <mergeCell ref="B66:I66"/>
    <mergeCell ref="B67:I67"/>
    <mergeCell ref="B68:I68"/>
    <mergeCell ref="B69:I69"/>
    <mergeCell ref="B70:I70"/>
    <mergeCell ref="B71:I71"/>
  </mergeCells>
  <printOptions horizontalCentered="1" verticalCentered="1"/>
  <pageMargins left="0.5118110236220472" right="0.5118110236220472" top="0.7874015748031497" bottom="1.9291338582677167" header="0.31496062992125984" footer="0.31496062992125984"/>
  <pageSetup horizontalDpi="600" verticalDpi="600" orientation="landscape" paperSize="9" scale="85" r:id="rId2"/>
  <headerFooter>
    <oddFooter>&amp;L&amp;A
Páginas ( &amp;P/&amp;N)&amp;R________________________
Fernando Melo Franco
Engº Eletricista CREA 11.179/D-GO
G5 ENGENHARIA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zoomScale="90" zoomScaleNormal="90" zoomScaleSheetLayoutView="100" workbookViewId="0" topLeftCell="A497">
      <pane ySplit="465" topLeftCell="A13" activePane="bottomLeft" state="split"/>
      <selection pane="topLeft" activeCell="C464" sqref="C464"/>
      <selection pane="bottomLeft" activeCell="A31" sqref="A31:IV31"/>
    </sheetView>
  </sheetViews>
  <sheetFormatPr defaultColWidth="9.140625" defaultRowHeight="12.75"/>
  <cols>
    <col min="1" max="1" width="5.8515625" style="10" customWidth="1"/>
    <col min="2" max="2" width="91.7109375" style="9" customWidth="1"/>
    <col min="3" max="3" width="8.421875" style="8" bestFit="1" customWidth="1"/>
    <col min="4" max="4" width="4.421875" style="7" customWidth="1"/>
    <col min="5" max="5" width="8.57421875" style="7" customWidth="1"/>
    <col min="6" max="6" width="10.00390625" style="7" customWidth="1"/>
    <col min="7" max="7" width="12.57421875" style="7" customWidth="1"/>
    <col min="8" max="8" width="10.8515625" style="7" customWidth="1"/>
    <col min="9" max="9" width="10.421875" style="7" customWidth="1"/>
    <col min="10" max="10" width="8.8515625" style="7" customWidth="1"/>
    <col min="11" max="11" width="10.57421875" style="7" customWidth="1"/>
    <col min="12" max="16384" width="9.140625" style="7" customWidth="1"/>
  </cols>
  <sheetData>
    <row r="1" spans="1:11" ht="21">
      <c r="A1" s="63"/>
      <c r="B1" s="64" t="s">
        <v>161</v>
      </c>
      <c r="C1" s="287" t="s">
        <v>162</v>
      </c>
      <c r="D1" s="288"/>
      <c r="E1" s="288"/>
      <c r="F1" s="288"/>
      <c r="G1" s="288"/>
      <c r="H1" s="288"/>
      <c r="I1" s="289"/>
      <c r="J1" s="65"/>
      <c r="K1" s="65"/>
    </row>
    <row r="2" spans="1:11" ht="24" customHeight="1">
      <c r="A2" s="62"/>
      <c r="B2" s="66"/>
      <c r="C2" s="287" t="s">
        <v>163</v>
      </c>
      <c r="D2" s="288"/>
      <c r="E2" s="288"/>
      <c r="F2" s="288"/>
      <c r="G2" s="288"/>
      <c r="H2" s="288"/>
      <c r="I2" s="289"/>
      <c r="J2" s="65"/>
      <c r="K2" s="65"/>
    </row>
    <row r="3" spans="1:11" ht="21">
      <c r="A3" s="62"/>
      <c r="B3" s="66"/>
      <c r="C3" s="55" t="s">
        <v>0</v>
      </c>
      <c r="D3" s="290"/>
      <c r="E3" s="290"/>
      <c r="F3" s="56" t="s">
        <v>2</v>
      </c>
      <c r="G3" s="55" t="s">
        <v>25</v>
      </c>
      <c r="H3" s="67"/>
      <c r="I3" s="56"/>
      <c r="J3" s="65"/>
      <c r="K3" s="65"/>
    </row>
    <row r="4" spans="1:11" ht="21">
      <c r="A4" s="68"/>
      <c r="B4" s="69"/>
      <c r="C4" s="291" t="s">
        <v>20</v>
      </c>
      <c r="D4" s="292"/>
      <c r="E4" s="292"/>
      <c r="F4" s="70"/>
      <c r="G4" s="291" t="s">
        <v>35</v>
      </c>
      <c r="H4" s="292"/>
      <c r="I4" s="293"/>
      <c r="J4" s="65"/>
      <c r="K4" s="1"/>
    </row>
    <row r="5" spans="1:11" ht="13.5" thickBot="1">
      <c r="A5" s="57"/>
      <c r="B5" s="58"/>
      <c r="C5" s="59"/>
      <c r="D5" s="60"/>
      <c r="E5" s="60"/>
      <c r="F5" s="60"/>
      <c r="G5" s="60"/>
      <c r="H5" s="60"/>
      <c r="I5" s="61"/>
      <c r="J5" s="1"/>
      <c r="K5" s="1"/>
    </row>
    <row r="6" spans="1:9" s="32" customFormat="1" ht="12" customHeight="1" thickBot="1">
      <c r="A6" s="316" t="s">
        <v>26</v>
      </c>
      <c r="B6" s="317"/>
      <c r="C6" s="317"/>
      <c r="D6" s="317"/>
      <c r="E6" s="317"/>
      <c r="F6" s="317"/>
      <c r="G6" s="317"/>
      <c r="H6" s="317"/>
      <c r="I6" s="318"/>
    </row>
    <row r="7" spans="1:9" s="34" customFormat="1" ht="12" customHeight="1" thickBot="1">
      <c r="A7" s="39" t="s">
        <v>5</v>
      </c>
      <c r="B7" s="38" t="s">
        <v>6</v>
      </c>
      <c r="C7" s="37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5" t="s">
        <v>13</v>
      </c>
    </row>
    <row r="8" spans="1:11" s="32" customFormat="1" ht="12" customHeight="1">
      <c r="A8" s="101"/>
      <c r="B8" s="102" t="s">
        <v>23</v>
      </c>
      <c r="C8" s="103" t="s">
        <v>15</v>
      </c>
      <c r="D8" s="103"/>
      <c r="E8" s="104"/>
      <c r="F8" s="104"/>
      <c r="G8" s="104"/>
      <c r="H8" s="105">
        <f>H79</f>
        <v>104977.39800000002</v>
      </c>
      <c r="I8" s="106">
        <f>I79</f>
        <v>0.9999999999999997</v>
      </c>
      <c r="K8" s="33"/>
    </row>
    <row r="9" spans="1:256" s="32" customFormat="1" ht="12" customHeight="1">
      <c r="A9" s="107">
        <v>1</v>
      </c>
      <c r="B9" s="80" t="s">
        <v>18</v>
      </c>
      <c r="C9" s="81"/>
      <c r="D9" s="81"/>
      <c r="E9" s="82"/>
      <c r="F9" s="82"/>
      <c r="G9" s="82"/>
      <c r="H9" s="82"/>
      <c r="I9" s="108"/>
      <c r="J9" s="79"/>
      <c r="K9" s="75"/>
      <c r="L9" s="76"/>
      <c r="M9" s="76"/>
      <c r="N9" s="77"/>
      <c r="O9" s="77"/>
      <c r="P9" s="77"/>
      <c r="Q9" s="77"/>
      <c r="R9" s="78"/>
      <c r="S9" s="79"/>
      <c r="T9" s="75"/>
      <c r="U9" s="76"/>
      <c r="V9" s="76"/>
      <c r="W9" s="77"/>
      <c r="X9" s="77"/>
      <c r="Y9" s="77"/>
      <c r="Z9" s="77"/>
      <c r="AA9" s="78"/>
      <c r="AB9" s="79"/>
      <c r="AC9" s="75"/>
      <c r="AD9" s="76"/>
      <c r="AE9" s="76"/>
      <c r="AF9" s="77"/>
      <c r="AG9" s="77"/>
      <c r="AH9" s="77"/>
      <c r="AI9" s="77"/>
      <c r="AJ9" s="78"/>
      <c r="AK9" s="79"/>
      <c r="AL9" s="75"/>
      <c r="AM9" s="76"/>
      <c r="AN9" s="76"/>
      <c r="AO9" s="77"/>
      <c r="AP9" s="77"/>
      <c r="AQ9" s="77"/>
      <c r="AR9" s="77"/>
      <c r="AS9" s="78"/>
      <c r="AT9" s="79"/>
      <c r="AU9" s="75"/>
      <c r="AV9" s="76"/>
      <c r="AW9" s="76"/>
      <c r="AX9" s="77"/>
      <c r="AY9" s="77"/>
      <c r="AZ9" s="77"/>
      <c r="BA9" s="77"/>
      <c r="BB9" s="78"/>
      <c r="BC9" s="79"/>
      <c r="BD9" s="75"/>
      <c r="BE9" s="76"/>
      <c r="BF9" s="76"/>
      <c r="BG9" s="77"/>
      <c r="BH9" s="77"/>
      <c r="BI9" s="77"/>
      <c r="BJ9" s="77"/>
      <c r="BK9" s="78"/>
      <c r="BL9" s="79"/>
      <c r="BM9" s="75"/>
      <c r="BN9" s="76"/>
      <c r="BO9" s="76"/>
      <c r="BP9" s="77"/>
      <c r="BQ9" s="77"/>
      <c r="BR9" s="77"/>
      <c r="BS9" s="77"/>
      <c r="BT9" s="78"/>
      <c r="BU9" s="79"/>
      <c r="BV9" s="75"/>
      <c r="BW9" s="76"/>
      <c r="BX9" s="76"/>
      <c r="BY9" s="77"/>
      <c r="BZ9" s="77"/>
      <c r="CA9" s="77"/>
      <c r="CB9" s="77"/>
      <c r="CC9" s="78"/>
      <c r="CD9" s="79"/>
      <c r="CE9" s="75"/>
      <c r="CF9" s="76"/>
      <c r="CG9" s="76"/>
      <c r="CH9" s="77"/>
      <c r="CI9" s="77"/>
      <c r="CJ9" s="77"/>
      <c r="CK9" s="77"/>
      <c r="CL9" s="78"/>
      <c r="CM9" s="79"/>
      <c r="CN9" s="75"/>
      <c r="CO9" s="76"/>
      <c r="CP9" s="76"/>
      <c r="CQ9" s="77"/>
      <c r="CR9" s="77"/>
      <c r="CS9" s="77"/>
      <c r="CT9" s="77"/>
      <c r="CU9" s="78"/>
      <c r="CV9" s="79"/>
      <c r="CW9" s="75"/>
      <c r="CX9" s="76"/>
      <c r="CY9" s="76"/>
      <c r="CZ9" s="77"/>
      <c r="DA9" s="77"/>
      <c r="DB9" s="77"/>
      <c r="DC9" s="77"/>
      <c r="DD9" s="78"/>
      <c r="DE9" s="79"/>
      <c r="DF9" s="75"/>
      <c r="DG9" s="76"/>
      <c r="DH9" s="76"/>
      <c r="DI9" s="77"/>
      <c r="DJ9" s="77"/>
      <c r="DK9" s="77"/>
      <c r="DL9" s="77"/>
      <c r="DM9" s="78"/>
      <c r="DN9" s="79"/>
      <c r="DO9" s="75"/>
      <c r="DP9" s="76"/>
      <c r="DQ9" s="76"/>
      <c r="DR9" s="77"/>
      <c r="DS9" s="77"/>
      <c r="DT9" s="77"/>
      <c r="DU9" s="77"/>
      <c r="DV9" s="78"/>
      <c r="DW9" s="79"/>
      <c r="DX9" s="75"/>
      <c r="DY9" s="76"/>
      <c r="DZ9" s="76"/>
      <c r="EA9" s="77"/>
      <c r="EB9" s="77"/>
      <c r="EC9" s="77"/>
      <c r="ED9" s="77"/>
      <c r="EE9" s="78"/>
      <c r="EF9" s="79"/>
      <c r="EG9" s="75"/>
      <c r="EH9" s="76"/>
      <c r="EI9" s="76"/>
      <c r="EJ9" s="77"/>
      <c r="EK9" s="77"/>
      <c r="EL9" s="77"/>
      <c r="EM9" s="77"/>
      <c r="EN9" s="78"/>
      <c r="EO9" s="79"/>
      <c r="EP9" s="75"/>
      <c r="EQ9" s="76"/>
      <c r="ER9" s="76"/>
      <c r="ES9" s="77"/>
      <c r="ET9" s="77"/>
      <c r="EU9" s="77"/>
      <c r="EV9" s="77"/>
      <c r="EW9" s="78"/>
      <c r="EX9" s="79"/>
      <c r="EY9" s="75"/>
      <c r="EZ9" s="76"/>
      <c r="FA9" s="76"/>
      <c r="FB9" s="77"/>
      <c r="FC9" s="77"/>
      <c r="FD9" s="77"/>
      <c r="FE9" s="77"/>
      <c r="FF9" s="78"/>
      <c r="FG9" s="79"/>
      <c r="FH9" s="75"/>
      <c r="FI9" s="76"/>
      <c r="FJ9" s="76"/>
      <c r="FK9" s="77"/>
      <c r="FL9" s="77"/>
      <c r="FM9" s="77"/>
      <c r="FN9" s="77"/>
      <c r="FO9" s="78"/>
      <c r="FP9" s="79"/>
      <c r="FQ9" s="75"/>
      <c r="FR9" s="76"/>
      <c r="FS9" s="76"/>
      <c r="FT9" s="77"/>
      <c r="FU9" s="77"/>
      <c r="FV9" s="77"/>
      <c r="FW9" s="77"/>
      <c r="FX9" s="78"/>
      <c r="FY9" s="79"/>
      <c r="FZ9" s="75"/>
      <c r="GA9" s="76"/>
      <c r="GB9" s="76"/>
      <c r="GC9" s="77"/>
      <c r="GD9" s="77"/>
      <c r="GE9" s="77"/>
      <c r="GF9" s="77"/>
      <c r="GG9" s="78"/>
      <c r="GH9" s="79"/>
      <c r="GI9" s="75"/>
      <c r="GJ9" s="76"/>
      <c r="GK9" s="76"/>
      <c r="GL9" s="77"/>
      <c r="GM9" s="77"/>
      <c r="GN9" s="77"/>
      <c r="GO9" s="77"/>
      <c r="GP9" s="78"/>
      <c r="GQ9" s="79"/>
      <c r="GR9" s="75"/>
      <c r="GS9" s="76"/>
      <c r="GT9" s="76"/>
      <c r="GU9" s="77"/>
      <c r="GV9" s="77"/>
      <c r="GW9" s="77"/>
      <c r="GX9" s="77"/>
      <c r="GY9" s="78"/>
      <c r="GZ9" s="79"/>
      <c r="HA9" s="75"/>
      <c r="HB9" s="76"/>
      <c r="HC9" s="76"/>
      <c r="HD9" s="77"/>
      <c r="HE9" s="77"/>
      <c r="HF9" s="77"/>
      <c r="HG9" s="77"/>
      <c r="HH9" s="78"/>
      <c r="HI9" s="79"/>
      <c r="HJ9" s="75"/>
      <c r="HK9" s="76"/>
      <c r="HL9" s="76"/>
      <c r="HM9" s="77"/>
      <c r="HN9" s="77"/>
      <c r="HO9" s="77"/>
      <c r="HP9" s="77"/>
      <c r="HQ9" s="78"/>
      <c r="HR9" s="79"/>
      <c r="HS9" s="75"/>
      <c r="HT9" s="76"/>
      <c r="HU9" s="76"/>
      <c r="HV9" s="77"/>
      <c r="HW9" s="77"/>
      <c r="HX9" s="77"/>
      <c r="HY9" s="77"/>
      <c r="HZ9" s="78"/>
      <c r="IA9" s="79"/>
      <c r="IB9" s="75"/>
      <c r="IC9" s="76"/>
      <c r="ID9" s="76"/>
      <c r="IE9" s="77"/>
      <c r="IF9" s="77"/>
      <c r="IG9" s="77"/>
      <c r="IH9" s="77"/>
      <c r="II9" s="78"/>
      <c r="IJ9" s="79"/>
      <c r="IK9" s="75"/>
      <c r="IL9" s="76"/>
      <c r="IM9" s="76"/>
      <c r="IN9" s="77"/>
      <c r="IO9" s="77"/>
      <c r="IP9" s="77"/>
      <c r="IQ9" s="77"/>
      <c r="IR9" s="78"/>
      <c r="IS9" s="79"/>
      <c r="IT9" s="75"/>
      <c r="IU9" s="76"/>
      <c r="IV9" s="76"/>
    </row>
    <row r="10" spans="1:11" s="11" customFormat="1" ht="11.25" customHeight="1">
      <c r="A10" s="109" t="s">
        <v>37</v>
      </c>
      <c r="B10" s="30" t="s">
        <v>78</v>
      </c>
      <c r="C10" s="49">
        <v>1</v>
      </c>
      <c r="D10" s="89" t="s">
        <v>14</v>
      </c>
      <c r="E10" s="53">
        <f aca="true" t="shared" si="0" ref="E10:E17">G10*0.15</f>
        <v>2.7825</v>
      </c>
      <c r="F10" s="53">
        <f aca="true" t="shared" si="1" ref="F10:F17">G10*0.85</f>
        <v>15.7675</v>
      </c>
      <c r="G10" s="29">
        <v>18.55</v>
      </c>
      <c r="H10" s="29">
        <f aca="true" t="shared" si="2" ref="H10:H17">G10*C10</f>
        <v>18.55</v>
      </c>
      <c r="I10" s="110">
        <f aca="true" t="shared" si="3" ref="I10:I17">H10/$H$8</f>
        <v>0.00017670470361629651</v>
      </c>
      <c r="J10" s="96" t="s">
        <v>33</v>
      </c>
      <c r="K10" s="84">
        <v>92000</v>
      </c>
    </row>
    <row r="11" spans="1:11" s="11" customFormat="1" ht="11.25" customHeight="1">
      <c r="A11" s="109" t="s">
        <v>38</v>
      </c>
      <c r="B11" s="30" t="s">
        <v>131</v>
      </c>
      <c r="C11" s="49">
        <v>6</v>
      </c>
      <c r="D11" s="89" t="s">
        <v>14</v>
      </c>
      <c r="E11" s="53">
        <f>G11*0.15</f>
        <v>4.374</v>
      </c>
      <c r="F11" s="53">
        <f>G11*0.85</f>
        <v>24.785999999999998</v>
      </c>
      <c r="G11" s="29">
        <v>29.16</v>
      </c>
      <c r="H11" s="29">
        <f>G11*C11</f>
        <v>174.96</v>
      </c>
      <c r="I11" s="110">
        <f>H11/$H$8</f>
        <v>0.0016666444714127891</v>
      </c>
      <c r="J11" s="96" t="s">
        <v>33</v>
      </c>
      <c r="K11" s="84">
        <v>92008</v>
      </c>
    </row>
    <row r="12" spans="1:11" s="11" customFormat="1" ht="12" customHeight="1">
      <c r="A12" s="109" t="s">
        <v>64</v>
      </c>
      <c r="B12" s="30" t="s">
        <v>77</v>
      </c>
      <c r="C12" s="49">
        <v>17</v>
      </c>
      <c r="D12" s="89" t="s">
        <v>14</v>
      </c>
      <c r="E12" s="53">
        <f t="shared" si="0"/>
        <v>3.1305</v>
      </c>
      <c r="F12" s="53">
        <f t="shared" si="1"/>
        <v>17.7395</v>
      </c>
      <c r="G12" s="29">
        <v>20.87</v>
      </c>
      <c r="H12" s="29">
        <f t="shared" si="2"/>
        <v>354.79</v>
      </c>
      <c r="I12" s="110">
        <f t="shared" si="3"/>
        <v>0.003379679881187377</v>
      </c>
      <c r="J12" s="96" t="s">
        <v>33</v>
      </c>
      <c r="K12" s="84">
        <v>91996</v>
      </c>
    </row>
    <row r="13" spans="1:11" s="11" customFormat="1" ht="11.25">
      <c r="A13" s="109" t="s">
        <v>65</v>
      </c>
      <c r="B13" s="4" t="s">
        <v>81</v>
      </c>
      <c r="C13" s="49">
        <v>3</v>
      </c>
      <c r="D13" s="89" t="s">
        <v>14</v>
      </c>
      <c r="E13" s="53">
        <f t="shared" si="0"/>
        <v>5.068499999999999</v>
      </c>
      <c r="F13" s="53">
        <f t="shared" si="1"/>
        <v>28.7215</v>
      </c>
      <c r="G13" s="29">
        <v>33.79</v>
      </c>
      <c r="H13" s="29">
        <f t="shared" si="2"/>
        <v>101.37</v>
      </c>
      <c r="I13" s="110">
        <f t="shared" si="3"/>
        <v>0.0009656364315678694</v>
      </c>
      <c r="J13" s="96" t="s">
        <v>33</v>
      </c>
      <c r="K13" s="84">
        <v>92004</v>
      </c>
    </row>
    <row r="14" spans="1:11" s="11" customFormat="1" ht="11.25" customHeight="1">
      <c r="A14" s="109" t="s">
        <v>79</v>
      </c>
      <c r="B14" s="30" t="s">
        <v>133</v>
      </c>
      <c r="C14" s="49">
        <v>24</v>
      </c>
      <c r="D14" s="89" t="s">
        <v>14</v>
      </c>
      <c r="E14" s="53">
        <f>G14*0.15</f>
        <v>2.7825</v>
      </c>
      <c r="F14" s="53">
        <f>G14*0.85</f>
        <v>15.7675</v>
      </c>
      <c r="G14" s="29">
        <v>18.55</v>
      </c>
      <c r="H14" s="29">
        <f>G14*C14</f>
        <v>445.20000000000005</v>
      </c>
      <c r="I14" s="110">
        <f>H14/$H$8</f>
        <v>0.0042409128867911166</v>
      </c>
      <c r="J14" s="96" t="s">
        <v>33</v>
      </c>
      <c r="K14" s="84">
        <v>92000</v>
      </c>
    </row>
    <row r="15" spans="1:11" s="11" customFormat="1" ht="11.25" customHeight="1">
      <c r="A15" s="109" t="s">
        <v>96</v>
      </c>
      <c r="B15" s="30" t="s">
        <v>93</v>
      </c>
      <c r="C15" s="49">
        <v>17</v>
      </c>
      <c r="D15" s="89" t="s">
        <v>14</v>
      </c>
      <c r="E15" s="53">
        <f>G15*0.15</f>
        <v>4.374</v>
      </c>
      <c r="F15" s="53">
        <f>G15*0.85</f>
        <v>24.785999999999998</v>
      </c>
      <c r="G15" s="29">
        <v>29.16</v>
      </c>
      <c r="H15" s="29">
        <f>G15*C15</f>
        <v>495.72</v>
      </c>
      <c r="I15" s="110">
        <f>H15/$H$8</f>
        <v>0.0047221593356695695</v>
      </c>
      <c r="J15" s="96" t="s">
        <v>33</v>
      </c>
      <c r="K15" s="84">
        <v>92008</v>
      </c>
    </row>
    <row r="16" spans="1:11" s="11" customFormat="1" ht="12" customHeight="1">
      <c r="A16" s="109" t="s">
        <v>132</v>
      </c>
      <c r="B16" s="30" t="s">
        <v>134</v>
      </c>
      <c r="C16" s="49">
        <v>1</v>
      </c>
      <c r="D16" s="89" t="s">
        <v>14</v>
      </c>
      <c r="E16" s="53">
        <f>G16*0.15</f>
        <v>3.1305</v>
      </c>
      <c r="F16" s="53">
        <f>G16*0.85</f>
        <v>17.7395</v>
      </c>
      <c r="G16" s="29">
        <v>20.87</v>
      </c>
      <c r="H16" s="29">
        <f>G16*C16</f>
        <v>20.87</v>
      </c>
      <c r="I16" s="110">
        <f>H16/$H$8</f>
        <v>0.0001988046988933751</v>
      </c>
      <c r="J16" s="96" t="s">
        <v>33</v>
      </c>
      <c r="K16" s="84">
        <v>91996</v>
      </c>
    </row>
    <row r="17" spans="1:11" s="1" customFormat="1" ht="11.25">
      <c r="A17" s="109" t="s">
        <v>135</v>
      </c>
      <c r="B17" s="30" t="s">
        <v>95</v>
      </c>
      <c r="C17" s="83">
        <v>4</v>
      </c>
      <c r="D17" s="90" t="s">
        <v>14</v>
      </c>
      <c r="E17" s="53">
        <f t="shared" si="0"/>
        <v>4.0245</v>
      </c>
      <c r="F17" s="53">
        <f t="shared" si="1"/>
        <v>22.8055</v>
      </c>
      <c r="G17" s="29">
        <v>26.83</v>
      </c>
      <c r="H17" s="29">
        <f t="shared" si="2"/>
        <v>107.32</v>
      </c>
      <c r="I17" s="110">
        <f t="shared" si="3"/>
        <v>0.0010223152987655494</v>
      </c>
      <c r="J17" s="96" t="s">
        <v>33</v>
      </c>
      <c r="K17" s="84">
        <v>91992</v>
      </c>
    </row>
    <row r="18" spans="1:11" s="11" customFormat="1" ht="11.25">
      <c r="A18" s="111">
        <v>2</v>
      </c>
      <c r="B18" s="25" t="s">
        <v>32</v>
      </c>
      <c r="C18" s="50"/>
      <c r="D18" s="24"/>
      <c r="E18" s="23"/>
      <c r="F18" s="23"/>
      <c r="G18" s="22"/>
      <c r="H18" s="22"/>
      <c r="I18" s="112"/>
      <c r="J18" s="98"/>
      <c r="K18" s="99"/>
    </row>
    <row r="19" spans="1:11" s="11" customFormat="1" ht="45">
      <c r="A19" s="109" t="s">
        <v>39</v>
      </c>
      <c r="B19" s="197" t="s">
        <v>344</v>
      </c>
      <c r="C19" s="83">
        <v>4</v>
      </c>
      <c r="D19" s="124" t="s">
        <v>14</v>
      </c>
      <c r="E19" s="97">
        <f aca="true" t="shared" si="4" ref="E19:E24">G19*0.15</f>
        <v>795</v>
      </c>
      <c r="F19" s="97">
        <f aca="true" t="shared" si="5" ref="F19:F24">G19*0.85</f>
        <v>4505</v>
      </c>
      <c r="G19" s="3">
        <v>5300</v>
      </c>
      <c r="H19" s="3">
        <f aca="true" t="shared" si="6" ref="H19:H26">G19*C19</f>
        <v>21200</v>
      </c>
      <c r="I19" s="110">
        <f aca="true" t="shared" si="7" ref="I19:I26">H19/$H$8</f>
        <v>0.20194823270433887</v>
      </c>
      <c r="J19" s="100" t="s">
        <v>66</v>
      </c>
      <c r="K19" s="73"/>
    </row>
    <row r="20" spans="1:11" s="1" customFormat="1" ht="11.25">
      <c r="A20" s="109" t="s">
        <v>109</v>
      </c>
      <c r="B20" s="86" t="s">
        <v>72</v>
      </c>
      <c r="C20" s="83">
        <v>100</v>
      </c>
      <c r="D20" s="120" t="s">
        <v>14</v>
      </c>
      <c r="E20" s="97">
        <f t="shared" si="4"/>
        <v>2.2965</v>
      </c>
      <c r="F20" s="97">
        <f t="shared" si="5"/>
        <v>13.0135</v>
      </c>
      <c r="G20" s="2">
        <v>15.31</v>
      </c>
      <c r="H20" s="2">
        <f t="shared" si="6"/>
        <v>1531</v>
      </c>
      <c r="I20" s="110">
        <f t="shared" si="7"/>
        <v>0.014584091710865226</v>
      </c>
      <c r="J20" s="100" t="s">
        <v>33</v>
      </c>
      <c r="K20" s="121" t="s">
        <v>73</v>
      </c>
    </row>
    <row r="21" spans="1:11" s="1" customFormat="1" ht="11.25">
      <c r="A21" s="109" t="s">
        <v>138</v>
      </c>
      <c r="B21" s="86" t="s">
        <v>75</v>
      </c>
      <c r="C21" s="83">
        <v>125</v>
      </c>
      <c r="D21" s="120" t="s">
        <v>14</v>
      </c>
      <c r="E21" s="97">
        <f t="shared" si="4"/>
        <v>1.65</v>
      </c>
      <c r="F21" s="97">
        <f t="shared" si="5"/>
        <v>9.35</v>
      </c>
      <c r="G21" s="3">
        <v>11</v>
      </c>
      <c r="H21" s="2">
        <f t="shared" si="6"/>
        <v>1375</v>
      </c>
      <c r="I21" s="110">
        <f t="shared" si="7"/>
        <v>0.013098057545682355</v>
      </c>
      <c r="J21" s="100" t="s">
        <v>33</v>
      </c>
      <c r="K21" s="121" t="s">
        <v>80</v>
      </c>
    </row>
    <row r="22" spans="1:11" s="11" customFormat="1" ht="11.25">
      <c r="A22" s="109" t="s">
        <v>40</v>
      </c>
      <c r="B22" s="30" t="s">
        <v>83</v>
      </c>
      <c r="C22" s="49">
        <v>137</v>
      </c>
      <c r="D22" s="89" t="s">
        <v>14</v>
      </c>
      <c r="E22" s="53">
        <f t="shared" si="4"/>
        <v>1.2195</v>
      </c>
      <c r="F22" s="53">
        <f t="shared" si="5"/>
        <v>6.910500000000001</v>
      </c>
      <c r="G22" s="29">
        <v>8.13</v>
      </c>
      <c r="H22" s="29">
        <f t="shared" si="6"/>
        <v>1113.8100000000002</v>
      </c>
      <c r="I22" s="110">
        <f t="shared" si="7"/>
        <v>0.010609998163604703</v>
      </c>
      <c r="J22" s="100" t="s">
        <v>33</v>
      </c>
      <c r="K22" s="84">
        <v>91936</v>
      </c>
    </row>
    <row r="23" spans="1:11" s="45" customFormat="1" ht="11.25" customHeight="1">
      <c r="A23" s="109" t="s">
        <v>41</v>
      </c>
      <c r="B23" s="123" t="s">
        <v>104</v>
      </c>
      <c r="C23" s="41">
        <v>42</v>
      </c>
      <c r="D23" s="46" t="s">
        <v>14</v>
      </c>
      <c r="E23" s="53">
        <f t="shared" si="4"/>
        <v>1.419</v>
      </c>
      <c r="F23" s="53">
        <f t="shared" si="5"/>
        <v>8.041</v>
      </c>
      <c r="G23" s="19">
        <v>9.46</v>
      </c>
      <c r="H23" s="29">
        <f t="shared" si="6"/>
        <v>397.32000000000005</v>
      </c>
      <c r="I23" s="110">
        <f t="shared" si="7"/>
        <v>0.003784814708400374</v>
      </c>
      <c r="J23" s="96" t="s">
        <v>33</v>
      </c>
      <c r="K23" s="74">
        <v>91940</v>
      </c>
    </row>
    <row r="24" spans="1:11" s="45" customFormat="1" ht="11.25" customHeight="1">
      <c r="A24" s="109" t="s">
        <v>110</v>
      </c>
      <c r="B24" s="123" t="s">
        <v>137</v>
      </c>
      <c r="C24" s="41">
        <v>7</v>
      </c>
      <c r="D24" s="46" t="s">
        <v>14</v>
      </c>
      <c r="E24" s="53">
        <f t="shared" si="4"/>
        <v>0.9345</v>
      </c>
      <c r="F24" s="53">
        <f t="shared" si="5"/>
        <v>5.2955000000000005</v>
      </c>
      <c r="G24" s="19">
        <v>6.23</v>
      </c>
      <c r="H24" s="29">
        <f t="shared" si="6"/>
        <v>43.61</v>
      </c>
      <c r="I24" s="110">
        <f t="shared" si="7"/>
        <v>0.00041542275604887816</v>
      </c>
      <c r="J24" s="96" t="s">
        <v>33</v>
      </c>
      <c r="K24" s="74">
        <v>91941</v>
      </c>
    </row>
    <row r="25" spans="1:11" s="45" customFormat="1" ht="11.25">
      <c r="A25" s="109" t="s">
        <v>111</v>
      </c>
      <c r="B25" s="48" t="s">
        <v>136</v>
      </c>
      <c r="C25" s="47">
        <v>7</v>
      </c>
      <c r="D25" s="46" t="s">
        <v>14</v>
      </c>
      <c r="E25" s="53">
        <v>35.24</v>
      </c>
      <c r="F25" s="53">
        <v>14.1</v>
      </c>
      <c r="G25" s="19">
        <f>E25+F25</f>
        <v>49.34</v>
      </c>
      <c r="H25" s="29">
        <f t="shared" si="6"/>
        <v>345.38</v>
      </c>
      <c r="I25" s="110">
        <f t="shared" si="7"/>
        <v>0.003290041538274743</v>
      </c>
      <c r="J25" s="96" t="s">
        <v>67</v>
      </c>
      <c r="K25" s="74">
        <v>70646</v>
      </c>
    </row>
    <row r="26" spans="1:11" s="45" customFormat="1" ht="11.25">
      <c r="A26" s="109" t="s">
        <v>112</v>
      </c>
      <c r="B26" s="48" t="s">
        <v>71</v>
      </c>
      <c r="C26" s="47">
        <v>2</v>
      </c>
      <c r="D26" s="46" t="s">
        <v>14</v>
      </c>
      <c r="E26" s="53">
        <v>42.29</v>
      </c>
      <c r="F26" s="53">
        <v>24.04</v>
      </c>
      <c r="G26" s="19">
        <f>E26+F26</f>
        <v>66.33</v>
      </c>
      <c r="H26" s="29">
        <f t="shared" si="6"/>
        <v>132.66</v>
      </c>
      <c r="I26" s="110">
        <f t="shared" si="7"/>
        <v>0.0012637005920074335</v>
      </c>
      <c r="J26" s="96" t="s">
        <v>67</v>
      </c>
      <c r="K26" s="74">
        <v>70647</v>
      </c>
    </row>
    <row r="27" spans="1:11" s="11" customFormat="1" ht="12.75" customHeight="1">
      <c r="A27" s="111">
        <v>3</v>
      </c>
      <c r="B27" s="25" t="s">
        <v>16</v>
      </c>
      <c r="C27" s="50"/>
      <c r="D27" s="24"/>
      <c r="E27" s="23"/>
      <c r="F27" s="23"/>
      <c r="G27" s="22"/>
      <c r="H27" s="22"/>
      <c r="I27" s="112"/>
      <c r="J27" s="98"/>
      <c r="K27" s="99"/>
    </row>
    <row r="28" spans="1:11" s="11" customFormat="1" ht="22.5">
      <c r="A28" s="71" t="s">
        <v>42</v>
      </c>
      <c r="B28" s="86" t="s">
        <v>84</v>
      </c>
      <c r="C28" s="83">
        <v>500</v>
      </c>
      <c r="D28" s="5" t="s">
        <v>1</v>
      </c>
      <c r="E28" s="3">
        <f>G28*0.15</f>
        <v>0.591</v>
      </c>
      <c r="F28" s="94">
        <f>G28*0.85</f>
        <v>3.3489999999999998</v>
      </c>
      <c r="G28" s="3">
        <v>3.94</v>
      </c>
      <c r="H28" s="3">
        <f aca="true" t="shared" si="8" ref="H28:H36">G28*C28</f>
        <v>1970</v>
      </c>
      <c r="I28" s="113">
        <f aca="true" t="shared" si="9" ref="I28:I36">H28/$H$8</f>
        <v>0.018765944265450356</v>
      </c>
      <c r="J28" s="91" t="s">
        <v>33</v>
      </c>
      <c r="K28" s="92">
        <v>91834</v>
      </c>
    </row>
    <row r="29" spans="1:11" s="11" customFormat="1" ht="22.5">
      <c r="A29" s="71" t="s">
        <v>43</v>
      </c>
      <c r="B29" s="86" t="s">
        <v>85</v>
      </c>
      <c r="C29" s="83">
        <v>1500</v>
      </c>
      <c r="D29" s="5" t="s">
        <v>1</v>
      </c>
      <c r="E29" s="3">
        <f>G29*0.15</f>
        <v>1.1055</v>
      </c>
      <c r="F29" s="94">
        <f>G29*0.85</f>
        <v>6.2645</v>
      </c>
      <c r="G29" s="3">
        <v>7.37</v>
      </c>
      <c r="H29" s="3">
        <f t="shared" si="8"/>
        <v>11055</v>
      </c>
      <c r="I29" s="113">
        <f t="shared" si="9"/>
        <v>0.10530838266728614</v>
      </c>
      <c r="J29" s="91" t="s">
        <v>33</v>
      </c>
      <c r="K29" s="92">
        <v>91871</v>
      </c>
    </row>
    <row r="30" spans="1:11" s="11" customFormat="1" ht="12" customHeight="1">
      <c r="A30" s="71" t="s">
        <v>107</v>
      </c>
      <c r="B30" s="43" t="s">
        <v>251</v>
      </c>
      <c r="C30" s="122">
        <v>40</v>
      </c>
      <c r="D30" s="40" t="s">
        <v>1</v>
      </c>
      <c r="E30" s="3">
        <f>G30*0.15</f>
        <v>1.434</v>
      </c>
      <c r="F30" s="94">
        <f>G30*0.85</f>
        <v>8.126</v>
      </c>
      <c r="G30" s="3">
        <v>9.56</v>
      </c>
      <c r="H30" s="19">
        <f>G30*C30</f>
        <v>382.40000000000003</v>
      </c>
      <c r="I30" s="113">
        <f>H30/$H$8</f>
        <v>0.0036426888767046787</v>
      </c>
      <c r="J30" s="91" t="s">
        <v>33</v>
      </c>
      <c r="K30" s="92">
        <v>93008</v>
      </c>
    </row>
    <row r="31" spans="1:11" s="11" customFormat="1" ht="12" customHeight="1">
      <c r="A31" s="71" t="s">
        <v>44</v>
      </c>
      <c r="B31" s="43" t="s">
        <v>113</v>
      </c>
      <c r="C31" s="122">
        <v>40</v>
      </c>
      <c r="D31" s="40" t="s">
        <v>1</v>
      </c>
      <c r="E31" s="3">
        <v>28.19</v>
      </c>
      <c r="F31" s="94">
        <v>24.96</v>
      </c>
      <c r="G31" s="19">
        <f>E31+F31</f>
        <v>53.150000000000006</v>
      </c>
      <c r="H31" s="19">
        <f t="shared" si="8"/>
        <v>2126</v>
      </c>
      <c r="I31" s="113">
        <f t="shared" si="9"/>
        <v>0.020251978430633227</v>
      </c>
      <c r="J31" s="96" t="s">
        <v>67</v>
      </c>
      <c r="K31" s="72">
        <v>71208</v>
      </c>
    </row>
    <row r="32" spans="1:11" s="11" customFormat="1" ht="12" customHeight="1">
      <c r="A32" s="71" t="s">
        <v>108</v>
      </c>
      <c r="B32" s="43" t="s">
        <v>116</v>
      </c>
      <c r="C32" s="44">
        <v>66</v>
      </c>
      <c r="D32" s="40" t="s">
        <v>68</v>
      </c>
      <c r="E32" s="19">
        <f>0.3*G32</f>
        <v>36</v>
      </c>
      <c r="F32" s="19">
        <f>0.7*G32</f>
        <v>84</v>
      </c>
      <c r="G32" s="19">
        <v>120</v>
      </c>
      <c r="H32" s="19">
        <f t="shared" si="8"/>
        <v>7920</v>
      </c>
      <c r="I32" s="113">
        <f t="shared" si="9"/>
        <v>0.07544481146313037</v>
      </c>
      <c r="J32" s="310" t="s">
        <v>66</v>
      </c>
      <c r="K32" s="311"/>
    </row>
    <row r="33" spans="1:11" s="1" customFormat="1" ht="11.25">
      <c r="A33" s="71" t="s">
        <v>125</v>
      </c>
      <c r="B33" s="86" t="s">
        <v>118</v>
      </c>
      <c r="C33" s="83">
        <v>2</v>
      </c>
      <c r="D33" s="124" t="s">
        <v>14</v>
      </c>
      <c r="E33" s="97">
        <f>(G33*0.3)</f>
        <v>6.273</v>
      </c>
      <c r="F33" s="97">
        <f>(G33*0.7)</f>
        <v>14.636999999999999</v>
      </c>
      <c r="G33" s="3">
        <v>20.91</v>
      </c>
      <c r="H33" s="3">
        <f t="shared" si="8"/>
        <v>41.82</v>
      </c>
      <c r="I33" s="113">
        <f t="shared" si="9"/>
        <v>0.00039837146658940807</v>
      </c>
      <c r="J33" s="310" t="s">
        <v>66</v>
      </c>
      <c r="K33" s="311"/>
    </row>
    <row r="34" spans="1:11" s="1" customFormat="1" ht="11.25">
      <c r="A34" s="71" t="s">
        <v>126</v>
      </c>
      <c r="B34" s="86" t="s">
        <v>124</v>
      </c>
      <c r="C34" s="83">
        <v>39</v>
      </c>
      <c r="D34" s="124" t="s">
        <v>14</v>
      </c>
      <c r="E34" s="97">
        <f>(G34*0.3)</f>
        <v>6.273</v>
      </c>
      <c r="F34" s="97">
        <f>(G34*0.7)</f>
        <v>14.636999999999999</v>
      </c>
      <c r="G34" s="3">
        <v>20.91</v>
      </c>
      <c r="H34" s="3">
        <f t="shared" si="8"/>
        <v>815.49</v>
      </c>
      <c r="I34" s="113">
        <f t="shared" si="9"/>
        <v>0.007768243598493457</v>
      </c>
      <c r="J34" s="310" t="s">
        <v>66</v>
      </c>
      <c r="K34" s="311"/>
    </row>
    <row r="35" spans="1:11" s="1" customFormat="1" ht="11.25">
      <c r="A35" s="71" t="s">
        <v>117</v>
      </c>
      <c r="B35" s="86" t="s">
        <v>120</v>
      </c>
      <c r="C35" s="83">
        <v>6</v>
      </c>
      <c r="D35" s="124" t="s">
        <v>14</v>
      </c>
      <c r="E35" s="97">
        <f>(G35*0.3)</f>
        <v>5.64</v>
      </c>
      <c r="F35" s="97">
        <f>(G35*0.7)</f>
        <v>13.16</v>
      </c>
      <c r="G35" s="3">
        <v>18.8</v>
      </c>
      <c r="H35" s="3">
        <f t="shared" si="8"/>
        <v>112.80000000000001</v>
      </c>
      <c r="I35" s="113">
        <f t="shared" si="9"/>
        <v>0.0010745170117476145</v>
      </c>
      <c r="J35" s="310" t="s">
        <v>66</v>
      </c>
      <c r="K35" s="311"/>
    </row>
    <row r="36" spans="1:11" s="1" customFormat="1" ht="11.25">
      <c r="A36" s="71" t="s">
        <v>119</v>
      </c>
      <c r="B36" s="86" t="s">
        <v>127</v>
      </c>
      <c r="C36" s="3">
        <v>150</v>
      </c>
      <c r="D36" s="5" t="s">
        <v>14</v>
      </c>
      <c r="E36" s="3">
        <v>0.54</v>
      </c>
      <c r="F36" s="3">
        <v>1.84</v>
      </c>
      <c r="G36" s="3">
        <f>F36+E36</f>
        <v>2.38</v>
      </c>
      <c r="H36" s="3">
        <f t="shared" si="8"/>
        <v>357</v>
      </c>
      <c r="I36" s="113">
        <f t="shared" si="9"/>
        <v>0.0034007320318608005</v>
      </c>
      <c r="J36" s="310" t="s">
        <v>66</v>
      </c>
      <c r="K36" s="311"/>
    </row>
    <row r="37" spans="1:11" s="11" customFormat="1" ht="11.25" customHeight="1">
      <c r="A37" s="111">
        <v>4</v>
      </c>
      <c r="B37" s="25" t="s">
        <v>24</v>
      </c>
      <c r="C37" s="52"/>
      <c r="D37" s="93"/>
      <c r="E37" s="52"/>
      <c r="F37" s="52"/>
      <c r="G37" s="52"/>
      <c r="H37" s="52"/>
      <c r="I37" s="114"/>
      <c r="J37" s="98"/>
      <c r="K37" s="99"/>
    </row>
    <row r="38" spans="1:11" s="11" customFormat="1" ht="11.25" customHeight="1">
      <c r="A38" s="109" t="s">
        <v>45</v>
      </c>
      <c r="B38" s="26" t="s">
        <v>139</v>
      </c>
      <c r="C38" s="49">
        <v>52</v>
      </c>
      <c r="D38" s="20" t="s">
        <v>14</v>
      </c>
      <c r="E38" s="3">
        <f aca="true" t="shared" si="10" ref="E38:E46">G38*0.15</f>
        <v>1.809</v>
      </c>
      <c r="F38" s="94">
        <f aca="true" t="shared" si="11" ref="F38:F46">G38*0.85</f>
        <v>10.251</v>
      </c>
      <c r="G38" s="3">
        <v>12.06</v>
      </c>
      <c r="H38" s="19">
        <f aca="true" t="shared" si="12" ref="H38:H45">G38*C38</f>
        <v>627.12</v>
      </c>
      <c r="I38" s="113">
        <f aca="true" t="shared" si="13" ref="I38:I47">H38/$H$8</f>
        <v>0.005973857344035141</v>
      </c>
      <c r="J38" s="96" t="s">
        <v>33</v>
      </c>
      <c r="K38" s="17" t="s">
        <v>69</v>
      </c>
    </row>
    <row r="39" spans="1:11" s="11" customFormat="1" ht="11.25" customHeight="1">
      <c r="A39" s="109" t="s">
        <v>46</v>
      </c>
      <c r="B39" s="26" t="s">
        <v>142</v>
      </c>
      <c r="C39" s="49">
        <v>5</v>
      </c>
      <c r="D39" s="20" t="s">
        <v>14</v>
      </c>
      <c r="E39" s="3">
        <f t="shared" si="10"/>
        <v>1.809</v>
      </c>
      <c r="F39" s="94">
        <f t="shared" si="11"/>
        <v>10.251</v>
      </c>
      <c r="G39" s="3">
        <v>12.06</v>
      </c>
      <c r="H39" s="19">
        <f t="shared" si="12"/>
        <v>60.300000000000004</v>
      </c>
      <c r="I39" s="113">
        <f>H39/$H$8</f>
        <v>0.000574409360003379</v>
      </c>
      <c r="J39" s="96" t="s">
        <v>33</v>
      </c>
      <c r="K39" s="17" t="s">
        <v>69</v>
      </c>
    </row>
    <row r="40" spans="1:11" s="11" customFormat="1" ht="11.25" customHeight="1">
      <c r="A40" s="109" t="s">
        <v>47</v>
      </c>
      <c r="B40" s="26" t="s">
        <v>140</v>
      </c>
      <c r="C40" s="49">
        <v>2</v>
      </c>
      <c r="D40" s="20" t="s">
        <v>14</v>
      </c>
      <c r="E40" s="3">
        <f>G40*0.15</f>
        <v>2.8215</v>
      </c>
      <c r="F40" s="94">
        <f>G40*0.85</f>
        <v>15.988499999999998</v>
      </c>
      <c r="G40" s="3">
        <v>18.81</v>
      </c>
      <c r="H40" s="19">
        <f>G40*C40</f>
        <v>37.62</v>
      </c>
      <c r="I40" s="113">
        <f>H40/$H$8</f>
        <v>0.00035836285444986924</v>
      </c>
      <c r="J40" s="96" t="s">
        <v>33</v>
      </c>
      <c r="K40" s="17" t="s">
        <v>97</v>
      </c>
    </row>
    <row r="41" spans="1:11" s="11" customFormat="1" ht="11.25" customHeight="1">
      <c r="A41" s="109" t="s">
        <v>48</v>
      </c>
      <c r="B41" s="31" t="s">
        <v>141</v>
      </c>
      <c r="C41" s="49">
        <v>3</v>
      </c>
      <c r="D41" s="20" t="s">
        <v>14</v>
      </c>
      <c r="E41" s="3">
        <f t="shared" si="10"/>
        <v>11.922</v>
      </c>
      <c r="F41" s="94">
        <f t="shared" si="11"/>
        <v>67.558</v>
      </c>
      <c r="G41" s="19">
        <v>79.48</v>
      </c>
      <c r="H41" s="19">
        <f t="shared" si="12"/>
        <v>238.44</v>
      </c>
      <c r="I41" s="113">
        <f t="shared" si="13"/>
        <v>0.0022713460663218187</v>
      </c>
      <c r="J41" s="96" t="s">
        <v>33</v>
      </c>
      <c r="K41" s="17" t="s">
        <v>31</v>
      </c>
    </row>
    <row r="42" spans="1:11" s="11" customFormat="1" ht="11.25" customHeight="1">
      <c r="A42" s="109" t="s">
        <v>49</v>
      </c>
      <c r="B42" s="31" t="s">
        <v>144</v>
      </c>
      <c r="C42" s="49">
        <v>2</v>
      </c>
      <c r="D42" s="20" t="s">
        <v>14</v>
      </c>
      <c r="E42" s="3">
        <f t="shared" si="10"/>
        <v>16.0185</v>
      </c>
      <c r="F42" s="94">
        <f t="shared" si="11"/>
        <v>90.7715</v>
      </c>
      <c r="G42" s="19">
        <v>106.79</v>
      </c>
      <c r="H42" s="19">
        <f t="shared" si="12"/>
        <v>213.58</v>
      </c>
      <c r="I42" s="113">
        <f t="shared" si="13"/>
        <v>0.002034533185895882</v>
      </c>
      <c r="J42" s="96" t="s">
        <v>33</v>
      </c>
      <c r="K42" s="17" t="s">
        <v>147</v>
      </c>
    </row>
    <row r="43" spans="1:11" s="11" customFormat="1" ht="11.25" customHeight="1">
      <c r="A43" s="109" t="s">
        <v>105</v>
      </c>
      <c r="B43" s="31" t="s">
        <v>145</v>
      </c>
      <c r="C43" s="49">
        <v>1</v>
      </c>
      <c r="D43" s="20" t="s">
        <v>14</v>
      </c>
      <c r="E43" s="3">
        <f>G43*0.15</f>
        <v>16.0185</v>
      </c>
      <c r="F43" s="94">
        <f>G43*0.85</f>
        <v>90.7715</v>
      </c>
      <c r="G43" s="19">
        <v>106.79</v>
      </c>
      <c r="H43" s="19">
        <v>100.35</v>
      </c>
      <c r="I43" s="113">
        <f t="shared" si="13"/>
        <v>0.0009559200543339813</v>
      </c>
      <c r="J43" s="96" t="s">
        <v>33</v>
      </c>
      <c r="K43" s="17" t="s">
        <v>147</v>
      </c>
    </row>
    <row r="44" spans="1:11" s="11" customFormat="1" ht="11.25" customHeight="1">
      <c r="A44" s="109" t="s">
        <v>143</v>
      </c>
      <c r="B44" s="26" t="s">
        <v>169</v>
      </c>
      <c r="C44" s="49">
        <v>1</v>
      </c>
      <c r="D44" s="20" t="s">
        <v>14</v>
      </c>
      <c r="E44" s="3">
        <f t="shared" si="10"/>
        <v>16.0185</v>
      </c>
      <c r="F44" s="94">
        <f t="shared" si="11"/>
        <v>90.7715</v>
      </c>
      <c r="G44" s="19">
        <v>106.79</v>
      </c>
      <c r="H44" s="19">
        <f t="shared" si="12"/>
        <v>106.79</v>
      </c>
      <c r="I44" s="113">
        <f t="shared" si="13"/>
        <v>0.001017266592947941</v>
      </c>
      <c r="J44" s="96" t="s">
        <v>33</v>
      </c>
      <c r="K44" s="17" t="s">
        <v>147</v>
      </c>
    </row>
    <row r="45" spans="1:11" s="11" customFormat="1" ht="11.25" customHeight="1">
      <c r="A45" s="109" t="s">
        <v>148</v>
      </c>
      <c r="B45" s="26" t="s">
        <v>151</v>
      </c>
      <c r="C45" s="49">
        <v>2</v>
      </c>
      <c r="D45" s="20" t="s">
        <v>14</v>
      </c>
      <c r="E45" s="3">
        <f t="shared" si="10"/>
        <v>72.18599999999999</v>
      </c>
      <c r="F45" s="94">
        <f t="shared" si="11"/>
        <v>409.054</v>
      </c>
      <c r="G45" s="19">
        <v>481.24</v>
      </c>
      <c r="H45" s="19">
        <f t="shared" si="12"/>
        <v>962.48</v>
      </c>
      <c r="I45" s="113">
        <f>H45/$H$8</f>
        <v>0.009168449764776985</v>
      </c>
      <c r="J45" s="96" t="s">
        <v>33</v>
      </c>
      <c r="K45" s="17" t="s">
        <v>152</v>
      </c>
    </row>
    <row r="46" spans="1:11" s="11" customFormat="1" ht="11.25" customHeight="1">
      <c r="A46" s="109" t="s">
        <v>149</v>
      </c>
      <c r="B46" s="26" t="s">
        <v>146</v>
      </c>
      <c r="C46" s="49">
        <v>1</v>
      </c>
      <c r="D46" s="20" t="s">
        <v>14</v>
      </c>
      <c r="E46" s="3">
        <f t="shared" si="10"/>
        <v>119.601</v>
      </c>
      <c r="F46" s="94">
        <f t="shared" si="11"/>
        <v>677.739</v>
      </c>
      <c r="G46" s="19">
        <v>797.34</v>
      </c>
      <c r="H46" s="19">
        <v>100.35</v>
      </c>
      <c r="I46" s="113">
        <f>H46/$H$8</f>
        <v>0.0009559200543339813</v>
      </c>
      <c r="J46" s="96" t="s">
        <v>33</v>
      </c>
      <c r="K46" s="17" t="s">
        <v>114</v>
      </c>
    </row>
    <row r="47" spans="1:11" s="11" customFormat="1" ht="12" customHeight="1">
      <c r="A47" s="109" t="s">
        <v>150</v>
      </c>
      <c r="B47" s="31" t="s">
        <v>70</v>
      </c>
      <c r="C47" s="19">
        <v>15</v>
      </c>
      <c r="D47" s="20" t="s">
        <v>14</v>
      </c>
      <c r="E47" s="19">
        <v>28.19</v>
      </c>
      <c r="F47" s="19">
        <v>104.08</v>
      </c>
      <c r="G47" s="19">
        <f>F47+E47</f>
        <v>132.27</v>
      </c>
      <c r="H47" s="19">
        <f>G47*C47</f>
        <v>1984.0500000000002</v>
      </c>
      <c r="I47" s="113">
        <f t="shared" si="13"/>
        <v>0.01889978259891715</v>
      </c>
      <c r="J47" s="96" t="s">
        <v>67</v>
      </c>
      <c r="K47" s="87">
        <v>71455</v>
      </c>
    </row>
    <row r="48" spans="1:11" s="11" customFormat="1" ht="11.25">
      <c r="A48" s="111">
        <v>5</v>
      </c>
      <c r="B48" s="25" t="s">
        <v>19</v>
      </c>
      <c r="C48" s="50"/>
      <c r="D48" s="24"/>
      <c r="E48" s="23"/>
      <c r="F48" s="23"/>
      <c r="G48" s="22"/>
      <c r="H48" s="22"/>
      <c r="I48" s="115"/>
      <c r="J48" s="98"/>
      <c r="K48" s="99"/>
    </row>
    <row r="49" spans="1:11" s="11" customFormat="1" ht="22.5">
      <c r="A49" s="109" t="s">
        <v>50</v>
      </c>
      <c r="B49" s="30" t="s">
        <v>86</v>
      </c>
      <c r="C49" s="49">
        <v>3000</v>
      </c>
      <c r="D49" s="89" t="s">
        <v>1</v>
      </c>
      <c r="E49" s="3">
        <f aca="true" t="shared" si="14" ref="E49:E60">G49*0.15</f>
        <v>0.4065</v>
      </c>
      <c r="F49" s="94">
        <f aca="true" t="shared" si="15" ref="F49:F60">G49*0.85</f>
        <v>2.3035</v>
      </c>
      <c r="G49" s="29">
        <v>2.71</v>
      </c>
      <c r="H49" s="29">
        <f aca="true" t="shared" si="16" ref="H49:H60">G49*C49</f>
        <v>8130</v>
      </c>
      <c r="I49" s="110">
        <f aca="true" t="shared" si="17" ref="I49:I60">H49/$H$8</f>
        <v>0.0774452420701073</v>
      </c>
      <c r="J49" s="96" t="s">
        <v>33</v>
      </c>
      <c r="K49" s="84">
        <v>91926</v>
      </c>
    </row>
    <row r="50" spans="1:11" s="11" customFormat="1" ht="22.5">
      <c r="A50" s="109" t="s">
        <v>51</v>
      </c>
      <c r="B50" s="30" t="s">
        <v>87</v>
      </c>
      <c r="C50" s="49">
        <v>3000</v>
      </c>
      <c r="D50" s="89" t="s">
        <v>1</v>
      </c>
      <c r="E50" s="3">
        <f t="shared" si="14"/>
        <v>0.4065</v>
      </c>
      <c r="F50" s="94">
        <f t="shared" si="15"/>
        <v>2.3035</v>
      </c>
      <c r="G50" s="29">
        <v>2.71</v>
      </c>
      <c r="H50" s="29">
        <f t="shared" si="16"/>
        <v>8130</v>
      </c>
      <c r="I50" s="110">
        <f t="shared" si="17"/>
        <v>0.0774452420701073</v>
      </c>
      <c r="J50" s="96" t="s">
        <v>33</v>
      </c>
      <c r="K50" s="84">
        <v>91926</v>
      </c>
    </row>
    <row r="51" spans="1:11" s="11" customFormat="1" ht="22.5">
      <c r="A51" s="109" t="s">
        <v>52</v>
      </c>
      <c r="B51" s="30" t="s">
        <v>88</v>
      </c>
      <c r="C51" s="49">
        <v>3000</v>
      </c>
      <c r="D51" s="20" t="s">
        <v>1</v>
      </c>
      <c r="E51" s="3">
        <f t="shared" si="14"/>
        <v>0.4065</v>
      </c>
      <c r="F51" s="94">
        <f t="shared" si="15"/>
        <v>2.3035</v>
      </c>
      <c r="G51" s="29">
        <v>2.71</v>
      </c>
      <c r="H51" s="29">
        <f t="shared" si="16"/>
        <v>8130</v>
      </c>
      <c r="I51" s="110">
        <f t="shared" si="17"/>
        <v>0.0774452420701073</v>
      </c>
      <c r="J51" s="96" t="s">
        <v>33</v>
      </c>
      <c r="K51" s="84">
        <v>91926</v>
      </c>
    </row>
    <row r="52" spans="1:11" s="11" customFormat="1" ht="22.5">
      <c r="A52" s="109" t="s">
        <v>53</v>
      </c>
      <c r="B52" s="30" t="s">
        <v>89</v>
      </c>
      <c r="C52" s="49">
        <v>1000</v>
      </c>
      <c r="D52" s="89" t="s">
        <v>1</v>
      </c>
      <c r="E52" s="3">
        <f t="shared" si="14"/>
        <v>0.4065</v>
      </c>
      <c r="F52" s="94">
        <f t="shared" si="15"/>
        <v>2.3035</v>
      </c>
      <c r="G52" s="29">
        <v>2.71</v>
      </c>
      <c r="H52" s="29">
        <f t="shared" si="16"/>
        <v>2710</v>
      </c>
      <c r="I52" s="110">
        <f t="shared" si="17"/>
        <v>0.02581508069003577</v>
      </c>
      <c r="J52" s="96" t="s">
        <v>33</v>
      </c>
      <c r="K52" s="84">
        <v>91926</v>
      </c>
    </row>
    <row r="53" spans="1:11" s="11" customFormat="1" ht="22.5">
      <c r="A53" s="109" t="s">
        <v>54</v>
      </c>
      <c r="B53" s="30" t="s">
        <v>98</v>
      </c>
      <c r="C53" s="49">
        <v>500</v>
      </c>
      <c r="D53" s="89" t="s">
        <v>1</v>
      </c>
      <c r="E53" s="3">
        <f>G53*0.15</f>
        <v>0.5655</v>
      </c>
      <c r="F53" s="94">
        <f t="shared" si="15"/>
        <v>3.2045</v>
      </c>
      <c r="G53" s="29">
        <v>3.77</v>
      </c>
      <c r="H53" s="29">
        <f>G53*C53</f>
        <v>1885</v>
      </c>
      <c r="I53" s="110">
        <f>H53/$H$8</f>
        <v>0.017956246162626355</v>
      </c>
      <c r="J53" s="96" t="s">
        <v>33</v>
      </c>
      <c r="K53" s="84">
        <v>91928</v>
      </c>
    </row>
    <row r="54" spans="1:11" s="11" customFormat="1" ht="22.5">
      <c r="A54" s="109" t="s">
        <v>55</v>
      </c>
      <c r="B54" s="30" t="s">
        <v>99</v>
      </c>
      <c r="C54" s="49">
        <v>500</v>
      </c>
      <c r="D54" s="89" t="s">
        <v>1</v>
      </c>
      <c r="E54" s="3">
        <f>G54*0.15</f>
        <v>0.5655</v>
      </c>
      <c r="F54" s="94">
        <f t="shared" si="15"/>
        <v>3.2045</v>
      </c>
      <c r="G54" s="29">
        <v>3.77</v>
      </c>
      <c r="H54" s="29">
        <f>G54*C54</f>
        <v>1885</v>
      </c>
      <c r="I54" s="110">
        <f>H54/$H$8</f>
        <v>0.017956246162626355</v>
      </c>
      <c r="J54" s="96" t="s">
        <v>33</v>
      </c>
      <c r="K54" s="84">
        <v>91928</v>
      </c>
    </row>
    <row r="55" spans="1:11" s="11" customFormat="1" ht="22.5">
      <c r="A55" s="109" t="s">
        <v>56</v>
      </c>
      <c r="B55" s="30" t="s">
        <v>100</v>
      </c>
      <c r="C55" s="49">
        <v>500</v>
      </c>
      <c r="D55" s="20" t="s">
        <v>1</v>
      </c>
      <c r="E55" s="3">
        <f>G55*0.15</f>
        <v>0.5655</v>
      </c>
      <c r="F55" s="94">
        <f t="shared" si="15"/>
        <v>3.2045</v>
      </c>
      <c r="G55" s="29">
        <v>3.77</v>
      </c>
      <c r="H55" s="29">
        <f>G55*C55</f>
        <v>1885</v>
      </c>
      <c r="I55" s="110">
        <f>H55/$H$8</f>
        <v>0.017956246162626355</v>
      </c>
      <c r="J55" s="96" t="s">
        <v>33</v>
      </c>
      <c r="K55" s="84">
        <v>91928</v>
      </c>
    </row>
    <row r="56" spans="1:11" s="11" customFormat="1" ht="22.5">
      <c r="A56" s="109" t="s">
        <v>57</v>
      </c>
      <c r="B56" s="43" t="s">
        <v>90</v>
      </c>
      <c r="C56" s="54">
        <v>100</v>
      </c>
      <c r="D56" s="40" t="s">
        <v>1</v>
      </c>
      <c r="E56" s="3">
        <f t="shared" si="14"/>
        <v>0.9464999999999999</v>
      </c>
      <c r="F56" s="94">
        <f t="shared" si="15"/>
        <v>5.363499999999999</v>
      </c>
      <c r="G56" s="19">
        <v>6.31</v>
      </c>
      <c r="H56" s="19">
        <f t="shared" si="16"/>
        <v>631</v>
      </c>
      <c r="I56" s="113">
        <f t="shared" si="17"/>
        <v>0.006010817680964048</v>
      </c>
      <c r="J56" s="96" t="s">
        <v>33</v>
      </c>
      <c r="K56" s="72">
        <v>91931</v>
      </c>
    </row>
    <row r="57" spans="1:11" s="11" customFormat="1" ht="22.5">
      <c r="A57" s="109" t="s">
        <v>58</v>
      </c>
      <c r="B57" s="43" t="s">
        <v>91</v>
      </c>
      <c r="C57" s="54">
        <v>100</v>
      </c>
      <c r="D57" s="40" t="s">
        <v>1</v>
      </c>
      <c r="E57" s="3">
        <f t="shared" si="14"/>
        <v>0.9464999999999999</v>
      </c>
      <c r="F57" s="94">
        <f t="shared" si="15"/>
        <v>5.363499999999999</v>
      </c>
      <c r="G57" s="19">
        <v>6.31</v>
      </c>
      <c r="H57" s="19">
        <f t="shared" si="16"/>
        <v>631</v>
      </c>
      <c r="I57" s="113">
        <f t="shared" si="17"/>
        <v>0.006010817680964048</v>
      </c>
      <c r="J57" s="96" t="s">
        <v>33</v>
      </c>
      <c r="K57" s="72">
        <v>91931</v>
      </c>
    </row>
    <row r="58" spans="1:11" s="11" customFormat="1" ht="22.5">
      <c r="A58" s="109" t="s">
        <v>27</v>
      </c>
      <c r="B58" s="43" t="s">
        <v>92</v>
      </c>
      <c r="C58" s="54">
        <v>300</v>
      </c>
      <c r="D58" s="40" t="s">
        <v>1</v>
      </c>
      <c r="E58" s="3">
        <f t="shared" si="14"/>
        <v>0.9464999999999999</v>
      </c>
      <c r="F58" s="94">
        <f t="shared" si="15"/>
        <v>5.363499999999999</v>
      </c>
      <c r="G58" s="19">
        <v>6.31</v>
      </c>
      <c r="H58" s="19">
        <f t="shared" si="16"/>
        <v>1892.9999999999998</v>
      </c>
      <c r="I58" s="113">
        <f t="shared" si="17"/>
        <v>0.01803245304289214</v>
      </c>
      <c r="J58" s="96" t="s">
        <v>33</v>
      </c>
      <c r="K58" s="72">
        <v>91931</v>
      </c>
    </row>
    <row r="59" spans="1:11" s="11" customFormat="1" ht="22.5">
      <c r="A59" s="109" t="s">
        <v>30</v>
      </c>
      <c r="B59" s="43" t="s">
        <v>155</v>
      </c>
      <c r="C59" s="54">
        <v>15</v>
      </c>
      <c r="D59" s="40" t="s">
        <v>1</v>
      </c>
      <c r="E59" s="3">
        <f t="shared" si="14"/>
        <v>1.449</v>
      </c>
      <c r="F59" s="94">
        <f t="shared" si="15"/>
        <v>8.211</v>
      </c>
      <c r="G59" s="19">
        <v>9.66</v>
      </c>
      <c r="H59" s="19">
        <f t="shared" si="16"/>
        <v>144.9</v>
      </c>
      <c r="I59" s="113">
        <f t="shared" si="17"/>
        <v>0.0013802971188140898</v>
      </c>
      <c r="J59" s="96" t="s">
        <v>33</v>
      </c>
      <c r="K59" s="72">
        <v>92982</v>
      </c>
    </row>
    <row r="60" spans="1:11" s="11" customFormat="1" ht="22.5">
      <c r="A60" s="109" t="s">
        <v>29</v>
      </c>
      <c r="B60" s="43" t="s">
        <v>154</v>
      </c>
      <c r="C60" s="54">
        <v>45</v>
      </c>
      <c r="D60" s="40" t="s">
        <v>1</v>
      </c>
      <c r="E60" s="3">
        <f t="shared" si="14"/>
        <v>1.449</v>
      </c>
      <c r="F60" s="94">
        <f t="shared" si="15"/>
        <v>8.211</v>
      </c>
      <c r="G60" s="19">
        <v>9.66</v>
      </c>
      <c r="H60" s="19">
        <f t="shared" si="16"/>
        <v>434.7</v>
      </c>
      <c r="I60" s="113">
        <f t="shared" si="17"/>
        <v>0.004140891356442269</v>
      </c>
      <c r="J60" s="96" t="s">
        <v>33</v>
      </c>
      <c r="K60" s="72">
        <v>92982</v>
      </c>
    </row>
    <row r="61" spans="1:11" s="11" customFormat="1" ht="22.5">
      <c r="A61" s="109" t="s">
        <v>28</v>
      </c>
      <c r="B61" s="43" t="s">
        <v>153</v>
      </c>
      <c r="C61" s="54">
        <v>30</v>
      </c>
      <c r="D61" s="40" t="s">
        <v>1</v>
      </c>
      <c r="E61" s="3">
        <f aca="true" t="shared" si="18" ref="E61:E66">G61*0.15</f>
        <v>1.449</v>
      </c>
      <c r="F61" s="94">
        <f aca="true" t="shared" si="19" ref="F61:F66">G61*0.85</f>
        <v>8.211</v>
      </c>
      <c r="G61" s="19">
        <v>9.66</v>
      </c>
      <c r="H61" s="19">
        <f aca="true" t="shared" si="20" ref="H61:H66">G61*C61</f>
        <v>289.8</v>
      </c>
      <c r="I61" s="113">
        <f aca="true" t="shared" si="21" ref="I61:I66">H61/$H$8</f>
        <v>0.0027605942376281796</v>
      </c>
      <c r="J61" s="96" t="s">
        <v>33</v>
      </c>
      <c r="K61" s="72">
        <v>92982</v>
      </c>
    </row>
    <row r="62" spans="1:11" s="11" customFormat="1" ht="22.5">
      <c r="A62" s="109" t="s">
        <v>101</v>
      </c>
      <c r="B62" s="43" t="s">
        <v>159</v>
      </c>
      <c r="C62" s="54">
        <v>15</v>
      </c>
      <c r="D62" s="40" t="s">
        <v>1</v>
      </c>
      <c r="E62" s="3">
        <f t="shared" si="18"/>
        <v>3.1275</v>
      </c>
      <c r="F62" s="94">
        <f t="shared" si="19"/>
        <v>17.7225</v>
      </c>
      <c r="G62" s="19">
        <v>20.85</v>
      </c>
      <c r="H62" s="19">
        <f t="shared" si="20"/>
        <v>312.75</v>
      </c>
      <c r="I62" s="113">
        <f t="shared" si="21"/>
        <v>0.002979212725390659</v>
      </c>
      <c r="J62" s="96" t="s">
        <v>33</v>
      </c>
      <c r="K62" s="72">
        <v>92986</v>
      </c>
    </row>
    <row r="63" spans="1:11" s="11" customFormat="1" ht="22.5">
      <c r="A63" s="109" t="s">
        <v>102</v>
      </c>
      <c r="B63" s="43" t="s">
        <v>158</v>
      </c>
      <c r="C63" s="54">
        <v>45</v>
      </c>
      <c r="D63" s="40" t="s">
        <v>1</v>
      </c>
      <c r="E63" s="3">
        <f t="shared" si="18"/>
        <v>3.1275</v>
      </c>
      <c r="F63" s="94">
        <f t="shared" si="19"/>
        <v>17.7225</v>
      </c>
      <c r="G63" s="19">
        <v>20.85</v>
      </c>
      <c r="H63" s="19">
        <f t="shared" si="20"/>
        <v>938.2500000000001</v>
      </c>
      <c r="I63" s="113">
        <f t="shared" si="21"/>
        <v>0.00893763817617198</v>
      </c>
      <c r="J63" s="96" t="s">
        <v>33</v>
      </c>
      <c r="K63" s="72">
        <v>92986</v>
      </c>
    </row>
    <row r="64" spans="1:11" s="11" customFormat="1" ht="22.5">
      <c r="A64" s="109" t="s">
        <v>103</v>
      </c>
      <c r="B64" s="43" t="s">
        <v>246</v>
      </c>
      <c r="C64" s="54">
        <v>15</v>
      </c>
      <c r="D64" s="40" t="s">
        <v>1</v>
      </c>
      <c r="E64" s="3">
        <f t="shared" si="18"/>
        <v>3.1275</v>
      </c>
      <c r="F64" s="94">
        <f t="shared" si="19"/>
        <v>17.7225</v>
      </c>
      <c r="G64" s="19">
        <v>20.85</v>
      </c>
      <c r="H64" s="19">
        <f t="shared" si="20"/>
        <v>312.75</v>
      </c>
      <c r="I64" s="113">
        <f t="shared" si="21"/>
        <v>0.002979212725390659</v>
      </c>
      <c r="J64" s="96" t="s">
        <v>33</v>
      </c>
      <c r="K64" s="72">
        <v>92986</v>
      </c>
    </row>
    <row r="65" spans="1:11" s="11" customFormat="1" ht="22.5">
      <c r="A65" s="109" t="s">
        <v>249</v>
      </c>
      <c r="B65" s="43" t="s">
        <v>247</v>
      </c>
      <c r="C65" s="54">
        <v>15</v>
      </c>
      <c r="D65" s="40" t="s">
        <v>1</v>
      </c>
      <c r="E65" s="3">
        <f t="shared" si="18"/>
        <v>5.761499999999999</v>
      </c>
      <c r="F65" s="94">
        <f t="shared" si="19"/>
        <v>32.6485</v>
      </c>
      <c r="G65" s="19">
        <v>38.41</v>
      </c>
      <c r="H65" s="19">
        <f t="shared" si="20"/>
        <v>576.15</v>
      </c>
      <c r="I65" s="113">
        <f t="shared" si="21"/>
        <v>0.005488324258141737</v>
      </c>
      <c r="J65" s="96" t="s">
        <v>33</v>
      </c>
      <c r="K65" s="72">
        <v>92990</v>
      </c>
    </row>
    <row r="66" spans="1:11" s="11" customFormat="1" ht="22.5">
      <c r="A66" s="109" t="s">
        <v>250</v>
      </c>
      <c r="B66" s="43" t="s">
        <v>248</v>
      </c>
      <c r="C66" s="54">
        <v>45</v>
      </c>
      <c r="D66" s="40" t="s">
        <v>1</v>
      </c>
      <c r="E66" s="3">
        <f t="shared" si="18"/>
        <v>5.761499999999999</v>
      </c>
      <c r="F66" s="94">
        <f t="shared" si="19"/>
        <v>32.6485</v>
      </c>
      <c r="G66" s="19">
        <v>38.41</v>
      </c>
      <c r="H66" s="19">
        <f t="shared" si="20"/>
        <v>1728.4499999999998</v>
      </c>
      <c r="I66" s="113">
        <f t="shared" si="21"/>
        <v>0.01646497277442521</v>
      </c>
      <c r="J66" s="96" t="s">
        <v>33</v>
      </c>
      <c r="K66" s="72">
        <v>92990</v>
      </c>
    </row>
    <row r="67" spans="1:11" s="11" customFormat="1" ht="11.25">
      <c r="A67" s="111">
        <v>6</v>
      </c>
      <c r="B67" s="25" t="s">
        <v>21</v>
      </c>
      <c r="C67" s="50"/>
      <c r="D67" s="28"/>
      <c r="E67" s="27"/>
      <c r="F67" s="27"/>
      <c r="G67" s="22"/>
      <c r="H67" s="22"/>
      <c r="I67" s="112"/>
      <c r="J67" s="98"/>
      <c r="K67" s="99"/>
    </row>
    <row r="68" spans="1:11" s="11" customFormat="1" ht="11.25">
      <c r="A68" s="109" t="s">
        <v>59</v>
      </c>
      <c r="B68" s="88" t="s">
        <v>82</v>
      </c>
      <c r="C68" s="49">
        <v>47</v>
      </c>
      <c r="D68" s="20" t="s">
        <v>14</v>
      </c>
      <c r="E68" s="3">
        <f>G68*0.15</f>
        <v>2.9295</v>
      </c>
      <c r="F68" s="94">
        <f>G68*0.85</f>
        <v>16.6005</v>
      </c>
      <c r="G68" s="19">
        <v>19.53</v>
      </c>
      <c r="H68" s="19">
        <f>G68*C68</f>
        <v>917.9100000000001</v>
      </c>
      <c r="I68" s="113">
        <f>H68/$H$8</f>
        <v>0.008743882183096211</v>
      </c>
      <c r="J68" s="96" t="s">
        <v>33</v>
      </c>
      <c r="K68" s="87">
        <v>91953</v>
      </c>
    </row>
    <row r="69" spans="1:11" s="11" customFormat="1" ht="11.25" customHeight="1">
      <c r="A69" s="109" t="s">
        <v>106</v>
      </c>
      <c r="B69" s="88" t="s">
        <v>94</v>
      </c>
      <c r="C69" s="49">
        <v>6</v>
      </c>
      <c r="D69" s="20" t="s">
        <v>14</v>
      </c>
      <c r="E69" s="3">
        <f>G69*0.15</f>
        <v>4.672499999999999</v>
      </c>
      <c r="F69" s="94">
        <f>G69*0.85</f>
        <v>26.4775</v>
      </c>
      <c r="G69" s="19">
        <v>31.15</v>
      </c>
      <c r="H69" s="19">
        <v>29.67</v>
      </c>
      <c r="I69" s="113">
        <f>H69/$H$8</f>
        <v>0.0002826322671857422</v>
      </c>
      <c r="J69" s="96" t="s">
        <v>33</v>
      </c>
      <c r="K69" s="87">
        <v>91959</v>
      </c>
    </row>
    <row r="70" spans="1:11" s="11" customFormat="1" ht="11.25">
      <c r="A70" s="109" t="s">
        <v>121</v>
      </c>
      <c r="B70" s="88" t="s">
        <v>122</v>
      </c>
      <c r="C70" s="49">
        <v>3</v>
      </c>
      <c r="D70" s="20" t="s">
        <v>14</v>
      </c>
      <c r="E70" s="3">
        <f>G70*0.15</f>
        <v>6.415500000000001</v>
      </c>
      <c r="F70" s="94">
        <f>G70*0.85</f>
        <v>36.3545</v>
      </c>
      <c r="G70" s="19">
        <v>42.77</v>
      </c>
      <c r="H70" s="19">
        <f>G70*C70</f>
        <v>128.31</v>
      </c>
      <c r="I70" s="113">
        <f>H70/$H$8</f>
        <v>0.0012222631008629112</v>
      </c>
      <c r="J70" s="96" t="s">
        <v>33</v>
      </c>
      <c r="K70" s="87">
        <v>91967</v>
      </c>
    </row>
    <row r="71" spans="1:11" s="11" customFormat="1" ht="12" customHeight="1">
      <c r="A71" s="109" t="s">
        <v>123</v>
      </c>
      <c r="B71" s="21" t="s">
        <v>128</v>
      </c>
      <c r="C71" s="49">
        <v>7</v>
      </c>
      <c r="D71" s="20" t="s">
        <v>14</v>
      </c>
      <c r="E71" s="3">
        <f>G71*0.15</f>
        <v>3.6914999999999996</v>
      </c>
      <c r="F71" s="94">
        <f>G71*0.85</f>
        <v>20.918499999999998</v>
      </c>
      <c r="G71" s="19">
        <v>24.61</v>
      </c>
      <c r="H71" s="19">
        <f>G71*C71</f>
        <v>172.26999999999998</v>
      </c>
      <c r="I71" s="113">
        <f>H71/$H$8</f>
        <v>0.0016410199079234175</v>
      </c>
      <c r="J71" s="96" t="s">
        <v>33</v>
      </c>
      <c r="K71" s="87">
        <v>91955</v>
      </c>
    </row>
    <row r="72" spans="1:11" s="11" customFormat="1" ht="11.25">
      <c r="A72" s="111">
        <v>7</v>
      </c>
      <c r="B72" s="25" t="s">
        <v>17</v>
      </c>
      <c r="C72" s="50"/>
      <c r="D72" s="24"/>
      <c r="E72" s="23"/>
      <c r="F72" s="23"/>
      <c r="G72" s="22"/>
      <c r="H72" s="22"/>
      <c r="I72" s="112"/>
      <c r="J72" s="98"/>
      <c r="K72" s="98"/>
    </row>
    <row r="73" spans="1:11" s="11" customFormat="1" ht="35.25" customHeight="1">
      <c r="A73" s="109" t="s">
        <v>60</v>
      </c>
      <c r="B73" s="21" t="s">
        <v>340</v>
      </c>
      <c r="C73" s="49">
        <v>45</v>
      </c>
      <c r="D73" s="40" t="s">
        <v>14</v>
      </c>
      <c r="E73" s="19">
        <f>0.1765*F73</f>
        <v>6.177499999999999</v>
      </c>
      <c r="F73" s="53">
        <v>35</v>
      </c>
      <c r="G73" s="19">
        <f>F73+E73</f>
        <v>41.1775</v>
      </c>
      <c r="H73" s="18">
        <f aca="true" t="shared" si="22" ref="H73:H78">G73*C73</f>
        <v>1852.9875000000002</v>
      </c>
      <c r="I73" s="113">
        <f aca="true" t="shared" si="23" ref="I73:I78">H73/$H$8</f>
        <v>0.017651299568312788</v>
      </c>
      <c r="J73" s="310" t="s">
        <v>66</v>
      </c>
      <c r="K73" s="311"/>
    </row>
    <row r="74" spans="1:11" s="1" customFormat="1" ht="22.5">
      <c r="A74" s="109" t="s">
        <v>61</v>
      </c>
      <c r="B74" s="21" t="s">
        <v>130</v>
      </c>
      <c r="C74" s="49">
        <v>1</v>
      </c>
      <c r="D74" s="40" t="s">
        <v>14</v>
      </c>
      <c r="E74" s="19">
        <f>0.1765*F74</f>
        <v>3.53</v>
      </c>
      <c r="F74" s="53">
        <v>20</v>
      </c>
      <c r="G74" s="19">
        <f>F74+E74</f>
        <v>23.53</v>
      </c>
      <c r="H74" s="18">
        <f t="shared" si="22"/>
        <v>23.53</v>
      </c>
      <c r="I74" s="113">
        <f t="shared" si="23"/>
        <v>0.0002241434865817497</v>
      </c>
      <c r="J74" s="310" t="s">
        <v>66</v>
      </c>
      <c r="K74" s="311"/>
    </row>
    <row r="75" spans="1:11" s="1" customFormat="1" ht="45">
      <c r="A75" s="109" t="s">
        <v>62</v>
      </c>
      <c r="B75" s="6" t="s">
        <v>174</v>
      </c>
      <c r="C75" s="83">
        <v>14</v>
      </c>
      <c r="D75" s="5" t="s">
        <v>14</v>
      </c>
      <c r="E75" s="97">
        <f>G75*0.3</f>
        <v>12.564</v>
      </c>
      <c r="F75" s="97">
        <f>0.7*G75</f>
        <v>29.316</v>
      </c>
      <c r="G75" s="3">
        <v>41.88</v>
      </c>
      <c r="H75" s="125">
        <f t="shared" si="22"/>
        <v>586.32</v>
      </c>
      <c r="I75" s="113">
        <f t="shared" si="23"/>
        <v>0.005585202254679621</v>
      </c>
      <c r="J75" s="310" t="s">
        <v>66</v>
      </c>
      <c r="K75" s="311"/>
    </row>
    <row r="76" spans="1:11" s="11" customFormat="1" ht="33.75">
      <c r="A76" s="109" t="s">
        <v>63</v>
      </c>
      <c r="B76" s="6" t="s">
        <v>34</v>
      </c>
      <c r="C76" s="51">
        <v>1</v>
      </c>
      <c r="D76" s="40" t="s">
        <v>14</v>
      </c>
      <c r="E76" s="19">
        <f>0.1765*F76</f>
        <v>5.277349999999999</v>
      </c>
      <c r="F76" s="95">
        <v>29.9</v>
      </c>
      <c r="G76" s="19">
        <f>F76+E76</f>
        <v>35.17735</v>
      </c>
      <c r="H76" s="18">
        <f t="shared" si="22"/>
        <v>35.17735</v>
      </c>
      <c r="I76" s="113">
        <f t="shared" si="23"/>
        <v>0.00033509451243971574</v>
      </c>
      <c r="J76" s="310" t="s">
        <v>66</v>
      </c>
      <c r="K76" s="311"/>
    </row>
    <row r="77" spans="1:11" s="1" customFormat="1" ht="56.25">
      <c r="A77" s="109" t="s">
        <v>129</v>
      </c>
      <c r="B77" s="6" t="s">
        <v>173</v>
      </c>
      <c r="C77" s="126">
        <v>8</v>
      </c>
      <c r="D77" s="40" t="s">
        <v>14</v>
      </c>
      <c r="E77" s="19">
        <f>0.1765*F77</f>
        <v>50.9379</v>
      </c>
      <c r="F77" s="94">
        <v>288.6</v>
      </c>
      <c r="G77" s="19">
        <f>F77+E77</f>
        <v>339.53790000000004</v>
      </c>
      <c r="H77" s="18">
        <f t="shared" si="22"/>
        <v>2716.3032000000003</v>
      </c>
      <c r="I77" s="113">
        <f t="shared" si="23"/>
        <v>0.02587512409099719</v>
      </c>
      <c r="J77" s="310" t="s">
        <v>66</v>
      </c>
      <c r="K77" s="311"/>
    </row>
    <row r="78" spans="1:11" ht="12.75">
      <c r="A78" s="109" t="s">
        <v>175</v>
      </c>
      <c r="B78" s="42" t="s">
        <v>22</v>
      </c>
      <c r="C78" s="41">
        <v>17</v>
      </c>
      <c r="D78" s="40" t="s">
        <v>14</v>
      </c>
      <c r="E78" s="19">
        <f>0.1765*F78</f>
        <v>7.042349999999999</v>
      </c>
      <c r="F78" s="29">
        <v>39.9</v>
      </c>
      <c r="G78" s="19">
        <f>F78+E78</f>
        <v>46.94235</v>
      </c>
      <c r="H78" s="19">
        <f t="shared" si="22"/>
        <v>798.01995</v>
      </c>
      <c r="I78" s="113">
        <f t="shared" si="23"/>
        <v>0.0076018263474200405</v>
      </c>
      <c r="J78" s="310" t="s">
        <v>66</v>
      </c>
      <c r="K78" s="311"/>
    </row>
    <row r="79" spans="1:9" ht="12.75">
      <c r="A79" s="312" t="s">
        <v>3</v>
      </c>
      <c r="B79" s="279"/>
      <c r="C79" s="279"/>
      <c r="D79" s="279"/>
      <c r="E79" s="279"/>
      <c r="F79" s="279"/>
      <c r="G79" s="280"/>
      <c r="H79" s="16">
        <f>SUM(H10:H78)</f>
        <v>104977.39800000002</v>
      </c>
      <c r="I79" s="116">
        <f>SUM(I10:I78)</f>
        <v>0.9999999999999997</v>
      </c>
    </row>
    <row r="80" spans="1:9" ht="12.75">
      <c r="A80" s="312" t="s">
        <v>36</v>
      </c>
      <c r="B80" s="279"/>
      <c r="C80" s="279"/>
      <c r="D80" s="279"/>
      <c r="E80" s="279"/>
      <c r="F80" s="279"/>
      <c r="G80" s="280"/>
      <c r="H80" s="16">
        <f>H79*0.22</f>
        <v>23095.027560000002</v>
      </c>
      <c r="I80" s="117">
        <v>0.22</v>
      </c>
    </row>
    <row r="81" spans="1:9" ht="13.5" thickBot="1">
      <c r="A81" s="313" t="s">
        <v>4</v>
      </c>
      <c r="B81" s="314"/>
      <c r="C81" s="314"/>
      <c r="D81" s="314"/>
      <c r="E81" s="314"/>
      <c r="F81" s="314"/>
      <c r="G81" s="315"/>
      <c r="H81" s="118">
        <f>H79+H80</f>
        <v>128072.42556000002</v>
      </c>
      <c r="I81" s="119"/>
    </row>
    <row r="82" spans="1:9" ht="12.75">
      <c r="A82" s="15"/>
      <c r="B82" s="13"/>
      <c r="C82" s="12"/>
      <c r="D82" s="11"/>
      <c r="E82" s="11"/>
      <c r="F82" s="11"/>
      <c r="G82" s="11"/>
      <c r="H82" s="11"/>
      <c r="I82" s="11"/>
    </row>
    <row r="83" spans="1:9" ht="12.75">
      <c r="A83" s="14"/>
      <c r="B83" s="13"/>
      <c r="C83" s="12"/>
      <c r="D83" s="11"/>
      <c r="E83" s="11"/>
      <c r="F83" s="11"/>
      <c r="G83" s="11"/>
      <c r="H83" s="11"/>
      <c r="I83" s="11"/>
    </row>
    <row r="84" spans="1:9" ht="12.75">
      <c r="A84" s="14"/>
      <c r="B84" s="13"/>
      <c r="C84" s="12"/>
      <c r="D84" s="11"/>
      <c r="E84" s="11"/>
      <c r="F84" s="11"/>
      <c r="G84" s="11"/>
      <c r="H84" s="11"/>
      <c r="I84" s="11"/>
    </row>
  </sheetData>
  <sheetProtection/>
  <mergeCells count="20">
    <mergeCell ref="J77:K77"/>
    <mergeCell ref="J36:K36"/>
    <mergeCell ref="J34:K34"/>
    <mergeCell ref="J35:K35"/>
    <mergeCell ref="C1:I1"/>
    <mergeCell ref="C2:I2"/>
    <mergeCell ref="D3:E3"/>
    <mergeCell ref="C4:E4"/>
    <mergeCell ref="G4:I4"/>
    <mergeCell ref="A6:I6"/>
    <mergeCell ref="J78:K78"/>
    <mergeCell ref="J32:K32"/>
    <mergeCell ref="A79:G79"/>
    <mergeCell ref="A80:G80"/>
    <mergeCell ref="A81:G81"/>
    <mergeCell ref="J73:K73"/>
    <mergeCell ref="J74:K74"/>
    <mergeCell ref="J76:K76"/>
    <mergeCell ref="J75:K75"/>
    <mergeCell ref="J33:K33"/>
  </mergeCells>
  <printOptions horizontalCentered="1" verticalCentered="1"/>
  <pageMargins left="0.5118110236220472" right="0.5118110236220472" top="0.7874015748031497" bottom="1.9291338582677167" header="0.31496062992125984" footer="0.31496062992125984"/>
  <pageSetup horizontalDpi="600" verticalDpi="600" orientation="landscape" paperSize="9" scale="85" r:id="rId2"/>
  <headerFooter>
    <oddFooter>&amp;L&amp;A
Páginas ( &amp;P/&amp;N)&amp;R________________________
Fernando Melo Franco
Engº Eletricista CREA 11.179/D-GO
G5 ENGENHARIA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zoomScale="90" zoomScaleNormal="90" zoomScaleSheetLayoutView="100" workbookViewId="0" topLeftCell="A464">
      <pane ySplit="465" topLeftCell="A33" activePane="bottomLeft" state="split"/>
      <selection pane="topLeft" activeCell="C464" sqref="C464"/>
      <selection pane="bottomLeft" activeCell="D49" sqref="D49"/>
    </sheetView>
  </sheetViews>
  <sheetFormatPr defaultColWidth="9.140625" defaultRowHeight="12.75"/>
  <cols>
    <col min="1" max="1" width="5.8515625" style="10" customWidth="1"/>
    <col min="2" max="2" width="91.7109375" style="9" customWidth="1"/>
    <col min="3" max="3" width="8.421875" style="8" bestFit="1" customWidth="1"/>
    <col min="4" max="4" width="4.421875" style="7" customWidth="1"/>
    <col min="5" max="5" width="8.57421875" style="7" customWidth="1"/>
    <col min="6" max="6" width="10.00390625" style="7" customWidth="1"/>
    <col min="7" max="7" width="12.57421875" style="7" customWidth="1"/>
    <col min="8" max="8" width="10.8515625" style="7" customWidth="1"/>
    <col min="9" max="9" width="10.421875" style="7" customWidth="1"/>
    <col min="10" max="10" width="8.8515625" style="7" customWidth="1"/>
    <col min="11" max="11" width="10.57421875" style="7" customWidth="1"/>
    <col min="12" max="16384" width="9.140625" style="7" customWidth="1"/>
  </cols>
  <sheetData>
    <row r="1" spans="1:11" ht="21">
      <c r="A1" s="63"/>
      <c r="B1" s="64" t="s">
        <v>161</v>
      </c>
      <c r="C1" s="287" t="s">
        <v>162</v>
      </c>
      <c r="D1" s="288"/>
      <c r="E1" s="288"/>
      <c r="F1" s="288"/>
      <c r="G1" s="288"/>
      <c r="H1" s="288"/>
      <c r="I1" s="289"/>
      <c r="J1" s="65"/>
      <c r="K1" s="65"/>
    </row>
    <row r="2" spans="1:11" ht="24" customHeight="1">
      <c r="A2" s="62"/>
      <c r="B2" s="66"/>
      <c r="C2" s="287" t="s">
        <v>163</v>
      </c>
      <c r="D2" s="288"/>
      <c r="E2" s="288"/>
      <c r="F2" s="288"/>
      <c r="G2" s="288"/>
      <c r="H2" s="288"/>
      <c r="I2" s="289"/>
      <c r="J2" s="65"/>
      <c r="K2" s="65"/>
    </row>
    <row r="3" spans="1:11" ht="21">
      <c r="A3" s="62"/>
      <c r="B3" s="66"/>
      <c r="C3" s="55" t="s">
        <v>0</v>
      </c>
      <c r="D3" s="290"/>
      <c r="E3" s="290"/>
      <c r="F3" s="56" t="s">
        <v>2</v>
      </c>
      <c r="G3" s="55" t="s">
        <v>25</v>
      </c>
      <c r="H3" s="67"/>
      <c r="I3" s="56"/>
      <c r="J3" s="65"/>
      <c r="K3" s="65"/>
    </row>
    <row r="4" spans="1:11" ht="21">
      <c r="A4" s="68"/>
      <c r="B4" s="69"/>
      <c r="C4" s="291" t="s">
        <v>20</v>
      </c>
      <c r="D4" s="292"/>
      <c r="E4" s="292"/>
      <c r="F4" s="70"/>
      <c r="G4" s="291" t="s">
        <v>35</v>
      </c>
      <c r="H4" s="292"/>
      <c r="I4" s="293"/>
      <c r="J4" s="65"/>
      <c r="K4" s="1"/>
    </row>
    <row r="5" spans="1:11" ht="13.5" thickBot="1">
      <c r="A5" s="57"/>
      <c r="B5" s="58"/>
      <c r="C5" s="59"/>
      <c r="D5" s="60"/>
      <c r="E5" s="60"/>
      <c r="F5" s="60"/>
      <c r="G5" s="60"/>
      <c r="H5" s="60"/>
      <c r="I5" s="61"/>
      <c r="J5" s="1"/>
      <c r="K5" s="1"/>
    </row>
    <row r="6" spans="1:9" s="32" customFormat="1" ht="12" customHeight="1" thickBot="1">
      <c r="A6" s="316" t="s">
        <v>26</v>
      </c>
      <c r="B6" s="317"/>
      <c r="C6" s="317"/>
      <c r="D6" s="317"/>
      <c r="E6" s="317"/>
      <c r="F6" s="317"/>
      <c r="G6" s="317"/>
      <c r="H6" s="317"/>
      <c r="I6" s="318"/>
    </row>
    <row r="7" spans="1:9" s="34" customFormat="1" ht="12" customHeight="1" thickBot="1">
      <c r="A7" s="39" t="s">
        <v>5</v>
      </c>
      <c r="B7" s="38" t="s">
        <v>6</v>
      </c>
      <c r="C7" s="37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5" t="s">
        <v>13</v>
      </c>
    </row>
    <row r="8" spans="1:11" s="32" customFormat="1" ht="12" customHeight="1">
      <c r="A8" s="101"/>
      <c r="B8" s="102" t="s">
        <v>23</v>
      </c>
      <c r="C8" s="103" t="s">
        <v>15</v>
      </c>
      <c r="D8" s="103"/>
      <c r="E8" s="104"/>
      <c r="F8" s="104"/>
      <c r="G8" s="104"/>
      <c r="H8" s="105">
        <f>H64</f>
        <v>61576.65745</v>
      </c>
      <c r="I8" s="106">
        <f>I64</f>
        <v>0.9999999999999999</v>
      </c>
      <c r="K8" s="33"/>
    </row>
    <row r="9" spans="1:256" s="32" customFormat="1" ht="12" customHeight="1">
      <c r="A9" s="107">
        <v>1</v>
      </c>
      <c r="B9" s="80" t="s">
        <v>18</v>
      </c>
      <c r="C9" s="81"/>
      <c r="D9" s="81"/>
      <c r="E9" s="82"/>
      <c r="F9" s="82"/>
      <c r="G9" s="82"/>
      <c r="H9" s="82"/>
      <c r="I9" s="108"/>
      <c r="J9" s="79"/>
      <c r="K9" s="75"/>
      <c r="L9" s="76"/>
      <c r="M9" s="76"/>
      <c r="N9" s="77"/>
      <c r="O9" s="77"/>
      <c r="P9" s="77"/>
      <c r="Q9" s="77"/>
      <c r="R9" s="78"/>
      <c r="S9" s="79"/>
      <c r="T9" s="75"/>
      <c r="U9" s="76"/>
      <c r="V9" s="76"/>
      <c r="W9" s="77"/>
      <c r="X9" s="77"/>
      <c r="Y9" s="77"/>
      <c r="Z9" s="77"/>
      <c r="AA9" s="78"/>
      <c r="AB9" s="79"/>
      <c r="AC9" s="75"/>
      <c r="AD9" s="76"/>
      <c r="AE9" s="76"/>
      <c r="AF9" s="77"/>
      <c r="AG9" s="77"/>
      <c r="AH9" s="77"/>
      <c r="AI9" s="77"/>
      <c r="AJ9" s="78"/>
      <c r="AK9" s="79"/>
      <c r="AL9" s="75"/>
      <c r="AM9" s="76"/>
      <c r="AN9" s="76"/>
      <c r="AO9" s="77"/>
      <c r="AP9" s="77"/>
      <c r="AQ9" s="77"/>
      <c r="AR9" s="77"/>
      <c r="AS9" s="78"/>
      <c r="AT9" s="79"/>
      <c r="AU9" s="75"/>
      <c r="AV9" s="76"/>
      <c r="AW9" s="76"/>
      <c r="AX9" s="77"/>
      <c r="AY9" s="77"/>
      <c r="AZ9" s="77"/>
      <c r="BA9" s="77"/>
      <c r="BB9" s="78"/>
      <c r="BC9" s="79"/>
      <c r="BD9" s="75"/>
      <c r="BE9" s="76"/>
      <c r="BF9" s="76"/>
      <c r="BG9" s="77"/>
      <c r="BH9" s="77"/>
      <c r="BI9" s="77"/>
      <c r="BJ9" s="77"/>
      <c r="BK9" s="78"/>
      <c r="BL9" s="79"/>
      <c r="BM9" s="75"/>
      <c r="BN9" s="76"/>
      <c r="BO9" s="76"/>
      <c r="BP9" s="77"/>
      <c r="BQ9" s="77"/>
      <c r="BR9" s="77"/>
      <c r="BS9" s="77"/>
      <c r="BT9" s="78"/>
      <c r="BU9" s="79"/>
      <c r="BV9" s="75"/>
      <c r="BW9" s="76"/>
      <c r="BX9" s="76"/>
      <c r="BY9" s="77"/>
      <c r="BZ9" s="77"/>
      <c r="CA9" s="77"/>
      <c r="CB9" s="77"/>
      <c r="CC9" s="78"/>
      <c r="CD9" s="79"/>
      <c r="CE9" s="75"/>
      <c r="CF9" s="76"/>
      <c r="CG9" s="76"/>
      <c r="CH9" s="77"/>
      <c r="CI9" s="77"/>
      <c r="CJ9" s="77"/>
      <c r="CK9" s="77"/>
      <c r="CL9" s="78"/>
      <c r="CM9" s="79"/>
      <c r="CN9" s="75"/>
      <c r="CO9" s="76"/>
      <c r="CP9" s="76"/>
      <c r="CQ9" s="77"/>
      <c r="CR9" s="77"/>
      <c r="CS9" s="77"/>
      <c r="CT9" s="77"/>
      <c r="CU9" s="78"/>
      <c r="CV9" s="79"/>
      <c r="CW9" s="75"/>
      <c r="CX9" s="76"/>
      <c r="CY9" s="76"/>
      <c r="CZ9" s="77"/>
      <c r="DA9" s="77"/>
      <c r="DB9" s="77"/>
      <c r="DC9" s="77"/>
      <c r="DD9" s="78"/>
      <c r="DE9" s="79"/>
      <c r="DF9" s="75"/>
      <c r="DG9" s="76"/>
      <c r="DH9" s="76"/>
      <c r="DI9" s="77"/>
      <c r="DJ9" s="77"/>
      <c r="DK9" s="77"/>
      <c r="DL9" s="77"/>
      <c r="DM9" s="78"/>
      <c r="DN9" s="79"/>
      <c r="DO9" s="75"/>
      <c r="DP9" s="76"/>
      <c r="DQ9" s="76"/>
      <c r="DR9" s="77"/>
      <c r="DS9" s="77"/>
      <c r="DT9" s="77"/>
      <c r="DU9" s="77"/>
      <c r="DV9" s="78"/>
      <c r="DW9" s="79"/>
      <c r="DX9" s="75"/>
      <c r="DY9" s="76"/>
      <c r="DZ9" s="76"/>
      <c r="EA9" s="77"/>
      <c r="EB9" s="77"/>
      <c r="EC9" s="77"/>
      <c r="ED9" s="77"/>
      <c r="EE9" s="78"/>
      <c r="EF9" s="79"/>
      <c r="EG9" s="75"/>
      <c r="EH9" s="76"/>
      <c r="EI9" s="76"/>
      <c r="EJ9" s="77"/>
      <c r="EK9" s="77"/>
      <c r="EL9" s="77"/>
      <c r="EM9" s="77"/>
      <c r="EN9" s="78"/>
      <c r="EO9" s="79"/>
      <c r="EP9" s="75"/>
      <c r="EQ9" s="76"/>
      <c r="ER9" s="76"/>
      <c r="ES9" s="77"/>
      <c r="ET9" s="77"/>
      <c r="EU9" s="77"/>
      <c r="EV9" s="77"/>
      <c r="EW9" s="78"/>
      <c r="EX9" s="79"/>
      <c r="EY9" s="75"/>
      <c r="EZ9" s="76"/>
      <c r="FA9" s="76"/>
      <c r="FB9" s="77"/>
      <c r="FC9" s="77"/>
      <c r="FD9" s="77"/>
      <c r="FE9" s="77"/>
      <c r="FF9" s="78"/>
      <c r="FG9" s="79"/>
      <c r="FH9" s="75"/>
      <c r="FI9" s="76"/>
      <c r="FJ9" s="76"/>
      <c r="FK9" s="77"/>
      <c r="FL9" s="77"/>
      <c r="FM9" s="77"/>
      <c r="FN9" s="77"/>
      <c r="FO9" s="78"/>
      <c r="FP9" s="79"/>
      <c r="FQ9" s="75"/>
      <c r="FR9" s="76"/>
      <c r="FS9" s="76"/>
      <c r="FT9" s="77"/>
      <c r="FU9" s="77"/>
      <c r="FV9" s="77"/>
      <c r="FW9" s="77"/>
      <c r="FX9" s="78"/>
      <c r="FY9" s="79"/>
      <c r="FZ9" s="75"/>
      <c r="GA9" s="76"/>
      <c r="GB9" s="76"/>
      <c r="GC9" s="77"/>
      <c r="GD9" s="77"/>
      <c r="GE9" s="77"/>
      <c r="GF9" s="77"/>
      <c r="GG9" s="78"/>
      <c r="GH9" s="79"/>
      <c r="GI9" s="75"/>
      <c r="GJ9" s="76"/>
      <c r="GK9" s="76"/>
      <c r="GL9" s="77"/>
      <c r="GM9" s="77"/>
      <c r="GN9" s="77"/>
      <c r="GO9" s="77"/>
      <c r="GP9" s="78"/>
      <c r="GQ9" s="79"/>
      <c r="GR9" s="75"/>
      <c r="GS9" s="76"/>
      <c r="GT9" s="76"/>
      <c r="GU9" s="77"/>
      <c r="GV9" s="77"/>
      <c r="GW9" s="77"/>
      <c r="GX9" s="77"/>
      <c r="GY9" s="78"/>
      <c r="GZ9" s="79"/>
      <c r="HA9" s="75"/>
      <c r="HB9" s="76"/>
      <c r="HC9" s="76"/>
      <c r="HD9" s="77"/>
      <c r="HE9" s="77"/>
      <c r="HF9" s="77"/>
      <c r="HG9" s="77"/>
      <c r="HH9" s="78"/>
      <c r="HI9" s="79"/>
      <c r="HJ9" s="75"/>
      <c r="HK9" s="76"/>
      <c r="HL9" s="76"/>
      <c r="HM9" s="77"/>
      <c r="HN9" s="77"/>
      <c r="HO9" s="77"/>
      <c r="HP9" s="77"/>
      <c r="HQ9" s="78"/>
      <c r="HR9" s="79"/>
      <c r="HS9" s="75"/>
      <c r="HT9" s="76"/>
      <c r="HU9" s="76"/>
      <c r="HV9" s="77"/>
      <c r="HW9" s="77"/>
      <c r="HX9" s="77"/>
      <c r="HY9" s="77"/>
      <c r="HZ9" s="78"/>
      <c r="IA9" s="79"/>
      <c r="IB9" s="75"/>
      <c r="IC9" s="76"/>
      <c r="ID9" s="76"/>
      <c r="IE9" s="77"/>
      <c r="IF9" s="77"/>
      <c r="IG9" s="77"/>
      <c r="IH9" s="77"/>
      <c r="II9" s="78"/>
      <c r="IJ9" s="79"/>
      <c r="IK9" s="75"/>
      <c r="IL9" s="76"/>
      <c r="IM9" s="76"/>
      <c r="IN9" s="77"/>
      <c r="IO9" s="77"/>
      <c r="IP9" s="77"/>
      <c r="IQ9" s="77"/>
      <c r="IR9" s="78"/>
      <c r="IS9" s="79"/>
      <c r="IT9" s="75"/>
      <c r="IU9" s="76"/>
      <c r="IV9" s="76"/>
    </row>
    <row r="10" spans="1:11" s="11" customFormat="1" ht="12" customHeight="1">
      <c r="A10" s="109" t="s">
        <v>37</v>
      </c>
      <c r="B10" s="30" t="s">
        <v>77</v>
      </c>
      <c r="C10" s="49">
        <v>7</v>
      </c>
      <c r="D10" s="89" t="s">
        <v>14</v>
      </c>
      <c r="E10" s="53">
        <f aca="true" t="shared" si="0" ref="E10:E16">G10*0.15</f>
        <v>3.1305</v>
      </c>
      <c r="F10" s="53">
        <f aca="true" t="shared" si="1" ref="F10:F16">G10*0.85</f>
        <v>17.7395</v>
      </c>
      <c r="G10" s="29">
        <v>20.87</v>
      </c>
      <c r="H10" s="29">
        <f aca="true" t="shared" si="2" ref="H10:H16">G10*C10</f>
        <v>146.09</v>
      </c>
      <c r="I10" s="110">
        <f aca="true" t="shared" si="3" ref="I10:I16">H10/$H$8</f>
        <v>0.002372489934495462</v>
      </c>
      <c r="J10" s="96" t="s">
        <v>33</v>
      </c>
      <c r="K10" s="84">
        <v>91996</v>
      </c>
    </row>
    <row r="11" spans="1:11" s="11" customFormat="1" ht="11.25">
      <c r="A11" s="109" t="s">
        <v>38</v>
      </c>
      <c r="B11" s="4" t="s">
        <v>81</v>
      </c>
      <c r="C11" s="49">
        <v>1</v>
      </c>
      <c r="D11" s="89" t="s">
        <v>14</v>
      </c>
      <c r="E11" s="53">
        <f t="shared" si="0"/>
        <v>5.068499999999999</v>
      </c>
      <c r="F11" s="53">
        <f t="shared" si="1"/>
        <v>28.7215</v>
      </c>
      <c r="G11" s="29">
        <v>33.79</v>
      </c>
      <c r="H11" s="29">
        <f t="shared" si="2"/>
        <v>33.79</v>
      </c>
      <c r="I11" s="110">
        <f t="shared" si="3"/>
        <v>0.0005487469018180687</v>
      </c>
      <c r="J11" s="96" t="s">
        <v>33</v>
      </c>
      <c r="K11" s="84">
        <v>92004</v>
      </c>
    </row>
    <row r="12" spans="1:11" s="11" customFormat="1" ht="11.25" customHeight="1">
      <c r="A12" s="109" t="s">
        <v>64</v>
      </c>
      <c r="B12" s="30" t="s">
        <v>133</v>
      </c>
      <c r="C12" s="49">
        <v>39</v>
      </c>
      <c r="D12" s="89" t="s">
        <v>14</v>
      </c>
      <c r="E12" s="53">
        <f>G12*0.15</f>
        <v>2.7825</v>
      </c>
      <c r="F12" s="53">
        <f>G12*0.85</f>
        <v>15.7675</v>
      </c>
      <c r="G12" s="29">
        <v>18.55</v>
      </c>
      <c r="H12" s="29">
        <f>G12*C12</f>
        <v>723.45</v>
      </c>
      <c r="I12" s="110">
        <f>H12/$H$8</f>
        <v>0.011748770231437758</v>
      </c>
      <c r="J12" s="96" t="s">
        <v>33</v>
      </c>
      <c r="K12" s="84">
        <v>92000</v>
      </c>
    </row>
    <row r="13" spans="1:11" s="11" customFormat="1" ht="11.25" customHeight="1">
      <c r="A13" s="109" t="s">
        <v>65</v>
      </c>
      <c r="B13" s="30" t="s">
        <v>93</v>
      </c>
      <c r="C13" s="49">
        <v>12</v>
      </c>
      <c r="D13" s="89" t="s">
        <v>14</v>
      </c>
      <c r="E13" s="53">
        <f>G13*0.15</f>
        <v>4.374</v>
      </c>
      <c r="F13" s="53">
        <f>G13*0.85</f>
        <v>24.785999999999998</v>
      </c>
      <c r="G13" s="29">
        <v>29.16</v>
      </c>
      <c r="H13" s="29">
        <f>G13*C13</f>
        <v>349.92</v>
      </c>
      <c r="I13" s="110">
        <f>H13/$H$8</f>
        <v>0.005682672858365748</v>
      </c>
      <c r="J13" s="96" t="s">
        <v>33</v>
      </c>
      <c r="K13" s="84">
        <v>92008</v>
      </c>
    </row>
    <row r="14" spans="1:11" s="11" customFormat="1" ht="12" customHeight="1">
      <c r="A14" s="109" t="s">
        <v>79</v>
      </c>
      <c r="B14" s="30" t="s">
        <v>134</v>
      </c>
      <c r="C14" s="49">
        <v>1</v>
      </c>
      <c r="D14" s="89" t="s">
        <v>14</v>
      </c>
      <c r="E14" s="53">
        <f>G14*0.15</f>
        <v>3.1305</v>
      </c>
      <c r="F14" s="53">
        <f>G14*0.85</f>
        <v>17.7395</v>
      </c>
      <c r="G14" s="29">
        <v>20.87</v>
      </c>
      <c r="H14" s="29">
        <f>G14*C14</f>
        <v>20.87</v>
      </c>
      <c r="I14" s="110">
        <f>H14/$H$8</f>
        <v>0.00033892713349935175</v>
      </c>
      <c r="J14" s="96" t="s">
        <v>33</v>
      </c>
      <c r="K14" s="84">
        <v>91996</v>
      </c>
    </row>
    <row r="15" spans="1:11" s="11" customFormat="1" ht="11.25">
      <c r="A15" s="109" t="s">
        <v>96</v>
      </c>
      <c r="B15" s="4" t="s">
        <v>172</v>
      </c>
      <c r="C15" s="49">
        <v>2</v>
      </c>
      <c r="D15" s="89" t="s">
        <v>14</v>
      </c>
      <c r="E15" s="53">
        <f>G15*0.15</f>
        <v>5.068499999999999</v>
      </c>
      <c r="F15" s="53">
        <f>G15*0.85</f>
        <v>28.7215</v>
      </c>
      <c r="G15" s="29">
        <v>33.79</v>
      </c>
      <c r="H15" s="29">
        <f>G15*C15</f>
        <v>67.58</v>
      </c>
      <c r="I15" s="110">
        <f>H15/$H$8</f>
        <v>0.0010974938036361374</v>
      </c>
      <c r="J15" s="96" t="s">
        <v>33</v>
      </c>
      <c r="K15" s="84">
        <v>92004</v>
      </c>
    </row>
    <row r="16" spans="1:11" s="1" customFormat="1" ht="11.25">
      <c r="A16" s="109" t="s">
        <v>132</v>
      </c>
      <c r="B16" s="30" t="s">
        <v>95</v>
      </c>
      <c r="C16" s="83">
        <v>4</v>
      </c>
      <c r="D16" s="90" t="s">
        <v>14</v>
      </c>
      <c r="E16" s="53">
        <f t="shared" si="0"/>
        <v>4.0245</v>
      </c>
      <c r="F16" s="53">
        <f t="shared" si="1"/>
        <v>22.8055</v>
      </c>
      <c r="G16" s="29">
        <v>26.83</v>
      </c>
      <c r="H16" s="29">
        <f t="shared" si="2"/>
        <v>107.32</v>
      </c>
      <c r="I16" s="110">
        <f t="shared" si="3"/>
        <v>0.0017428682303378257</v>
      </c>
      <c r="J16" s="96" t="s">
        <v>33</v>
      </c>
      <c r="K16" s="84">
        <v>91992</v>
      </c>
    </row>
    <row r="17" spans="1:11" s="11" customFormat="1" ht="11.25">
      <c r="A17" s="111">
        <v>2</v>
      </c>
      <c r="B17" s="25" t="s">
        <v>32</v>
      </c>
      <c r="C17" s="50"/>
      <c r="D17" s="24"/>
      <c r="E17" s="23"/>
      <c r="F17" s="23"/>
      <c r="G17" s="22"/>
      <c r="H17" s="22"/>
      <c r="I17" s="112"/>
      <c r="J17" s="98"/>
      <c r="K17" s="99"/>
    </row>
    <row r="18" spans="1:11" s="11" customFormat="1" ht="22.5" customHeight="1">
      <c r="A18" s="109" t="s">
        <v>39</v>
      </c>
      <c r="B18" s="85" t="s">
        <v>74</v>
      </c>
      <c r="C18" s="49">
        <v>1</v>
      </c>
      <c r="D18" s="89" t="s">
        <v>14</v>
      </c>
      <c r="E18" s="53">
        <f aca="true" t="shared" si="4" ref="E18:E23">G18*0.15</f>
        <v>7.047</v>
      </c>
      <c r="F18" s="53">
        <f aca="true" t="shared" si="5" ref="F18:F23">G18*0.85</f>
        <v>39.933</v>
      </c>
      <c r="G18" s="29">
        <v>46.98</v>
      </c>
      <c r="H18" s="29">
        <f aca="true" t="shared" si="6" ref="H18:H24">G18*C18</f>
        <v>46.98</v>
      </c>
      <c r="I18" s="110">
        <f aca="true" t="shared" si="7" ref="I18:I24">H18/$H$8</f>
        <v>0.0007629514485768828</v>
      </c>
      <c r="J18" s="100" t="s">
        <v>33</v>
      </c>
      <c r="K18" s="73" t="s">
        <v>76</v>
      </c>
    </row>
    <row r="19" spans="1:11" s="11" customFormat="1" ht="23.25" customHeight="1">
      <c r="A19" s="109" t="s">
        <v>109</v>
      </c>
      <c r="B19" s="85" t="s">
        <v>164</v>
      </c>
      <c r="C19" s="49">
        <v>1</v>
      </c>
      <c r="D19" s="89" t="s">
        <v>14</v>
      </c>
      <c r="E19" s="53">
        <f>G19*0.15</f>
        <v>25.1835</v>
      </c>
      <c r="F19" s="53">
        <f>G19*0.85</f>
        <v>142.70649999999998</v>
      </c>
      <c r="G19" s="29">
        <v>167.89</v>
      </c>
      <c r="H19" s="29">
        <f t="shared" si="6"/>
        <v>167.89</v>
      </c>
      <c r="I19" s="110">
        <f t="shared" si="7"/>
        <v>0.0027265201937329256</v>
      </c>
      <c r="J19" s="100" t="s">
        <v>33</v>
      </c>
      <c r="K19" s="73" t="s">
        <v>167</v>
      </c>
    </row>
    <row r="20" spans="1:11" s="11" customFormat="1" ht="23.25" customHeight="1">
      <c r="A20" s="109" t="s">
        <v>138</v>
      </c>
      <c r="B20" s="85" t="s">
        <v>165</v>
      </c>
      <c r="C20" s="49">
        <v>2</v>
      </c>
      <c r="D20" s="89" t="s">
        <v>14</v>
      </c>
      <c r="E20" s="53">
        <f>G20*0.15</f>
        <v>62.56349999999999</v>
      </c>
      <c r="F20" s="53">
        <f>G20*0.85</f>
        <v>354.52649999999994</v>
      </c>
      <c r="G20" s="29">
        <v>417.09</v>
      </c>
      <c r="H20" s="29">
        <f t="shared" si="6"/>
        <v>834.18</v>
      </c>
      <c r="I20" s="110">
        <f t="shared" si="7"/>
        <v>0.013547016589481993</v>
      </c>
      <c r="J20" s="100" t="s">
        <v>33</v>
      </c>
      <c r="K20" s="73" t="s">
        <v>166</v>
      </c>
    </row>
    <row r="21" spans="1:11" s="1" customFormat="1" ht="11.25">
      <c r="A21" s="109" t="s">
        <v>40</v>
      </c>
      <c r="B21" s="86" t="s">
        <v>72</v>
      </c>
      <c r="C21" s="83">
        <v>170</v>
      </c>
      <c r="D21" s="120" t="s">
        <v>14</v>
      </c>
      <c r="E21" s="97">
        <f t="shared" si="4"/>
        <v>2.2965</v>
      </c>
      <c r="F21" s="97">
        <f t="shared" si="5"/>
        <v>13.0135</v>
      </c>
      <c r="G21" s="2">
        <v>15.31</v>
      </c>
      <c r="H21" s="2">
        <f t="shared" si="6"/>
        <v>2602.7000000000003</v>
      </c>
      <c r="I21" s="110">
        <f t="shared" si="7"/>
        <v>0.042267640170520496</v>
      </c>
      <c r="J21" s="100" t="s">
        <v>33</v>
      </c>
      <c r="K21" s="121" t="s">
        <v>73</v>
      </c>
    </row>
    <row r="22" spans="1:11" s="1" customFormat="1" ht="11.25">
      <c r="A22" s="109" t="s">
        <v>41</v>
      </c>
      <c r="B22" s="86" t="s">
        <v>75</v>
      </c>
      <c r="C22" s="83">
        <v>95</v>
      </c>
      <c r="D22" s="120" t="s">
        <v>14</v>
      </c>
      <c r="E22" s="97">
        <f t="shared" si="4"/>
        <v>1.65</v>
      </c>
      <c r="F22" s="97">
        <f t="shared" si="5"/>
        <v>9.35</v>
      </c>
      <c r="G22" s="3">
        <v>11</v>
      </c>
      <c r="H22" s="2">
        <f t="shared" si="6"/>
        <v>1045</v>
      </c>
      <c r="I22" s="110">
        <f t="shared" si="7"/>
        <v>0.016970716555190345</v>
      </c>
      <c r="J22" s="100" t="s">
        <v>33</v>
      </c>
      <c r="K22" s="121" t="s">
        <v>80</v>
      </c>
    </row>
    <row r="23" spans="1:11" s="11" customFormat="1" ht="11.25">
      <c r="A23" s="109" t="s">
        <v>110</v>
      </c>
      <c r="B23" s="30" t="s">
        <v>83</v>
      </c>
      <c r="C23" s="49">
        <v>88</v>
      </c>
      <c r="D23" s="89" t="s">
        <v>14</v>
      </c>
      <c r="E23" s="53">
        <f t="shared" si="4"/>
        <v>1.2195</v>
      </c>
      <c r="F23" s="53">
        <f t="shared" si="5"/>
        <v>6.910500000000001</v>
      </c>
      <c r="G23" s="29">
        <v>8.13</v>
      </c>
      <c r="H23" s="29">
        <f t="shared" si="6"/>
        <v>715.44</v>
      </c>
      <c r="I23" s="110">
        <f t="shared" si="7"/>
        <v>0.011618688471048213</v>
      </c>
      <c r="J23" s="100" t="s">
        <v>33</v>
      </c>
      <c r="K23" s="84">
        <v>91936</v>
      </c>
    </row>
    <row r="24" spans="1:11" s="45" customFormat="1" ht="11.25" customHeight="1">
      <c r="A24" s="109" t="s">
        <v>111</v>
      </c>
      <c r="B24" s="123" t="s">
        <v>104</v>
      </c>
      <c r="C24" s="41">
        <v>14</v>
      </c>
      <c r="D24" s="46" t="s">
        <v>14</v>
      </c>
      <c r="E24" s="53">
        <f>G24*0.15</f>
        <v>1.419</v>
      </c>
      <c r="F24" s="53">
        <f>G24*0.85</f>
        <v>8.041</v>
      </c>
      <c r="G24" s="19">
        <v>9.46</v>
      </c>
      <c r="H24" s="29">
        <f t="shared" si="6"/>
        <v>132.44</v>
      </c>
      <c r="I24" s="110">
        <f t="shared" si="7"/>
        <v>0.0021508150244683344</v>
      </c>
      <c r="J24" s="96" t="s">
        <v>33</v>
      </c>
      <c r="K24" s="74">
        <v>91940</v>
      </c>
    </row>
    <row r="25" spans="1:11" s="11" customFormat="1" ht="12.75" customHeight="1">
      <c r="A25" s="111">
        <v>3</v>
      </c>
      <c r="B25" s="25" t="s">
        <v>16</v>
      </c>
      <c r="C25" s="50"/>
      <c r="D25" s="24"/>
      <c r="E25" s="23"/>
      <c r="F25" s="23"/>
      <c r="G25" s="22"/>
      <c r="H25" s="22"/>
      <c r="I25" s="112"/>
      <c r="J25" s="98"/>
      <c r="K25" s="99"/>
    </row>
    <row r="26" spans="1:11" s="11" customFormat="1" ht="22.5">
      <c r="A26" s="71" t="s">
        <v>42</v>
      </c>
      <c r="B26" s="86" t="s">
        <v>84</v>
      </c>
      <c r="C26" s="83">
        <v>500</v>
      </c>
      <c r="D26" s="5" t="s">
        <v>1</v>
      </c>
      <c r="E26" s="3">
        <f>G26*0.15</f>
        <v>0.591</v>
      </c>
      <c r="F26" s="94">
        <f>G26*0.85</f>
        <v>3.3489999999999998</v>
      </c>
      <c r="G26" s="3">
        <v>3.94</v>
      </c>
      <c r="H26" s="3">
        <f aca="true" t="shared" si="8" ref="H26:H34">G26*C26</f>
        <v>1970</v>
      </c>
      <c r="I26" s="113">
        <f aca="true" t="shared" si="9" ref="I26:I34">H26/$H$8</f>
        <v>0.031992642692559796</v>
      </c>
      <c r="J26" s="91" t="s">
        <v>33</v>
      </c>
      <c r="K26" s="92">
        <v>91834</v>
      </c>
    </row>
    <row r="27" spans="1:11" s="11" customFormat="1" ht="22.5">
      <c r="A27" s="71" t="s">
        <v>43</v>
      </c>
      <c r="B27" s="86" t="s">
        <v>85</v>
      </c>
      <c r="C27" s="83">
        <v>1500</v>
      </c>
      <c r="D27" s="5" t="s">
        <v>1</v>
      </c>
      <c r="E27" s="3">
        <f>G27*0.15</f>
        <v>1.1055</v>
      </c>
      <c r="F27" s="94">
        <f>G27*0.85</f>
        <v>6.2645</v>
      </c>
      <c r="G27" s="3">
        <v>7.37</v>
      </c>
      <c r="H27" s="3">
        <f t="shared" si="8"/>
        <v>11055</v>
      </c>
      <c r="I27" s="113">
        <f t="shared" si="9"/>
        <v>0.1795323172417505</v>
      </c>
      <c r="J27" s="91" t="s">
        <v>33</v>
      </c>
      <c r="K27" s="92">
        <v>91871</v>
      </c>
    </row>
    <row r="28" spans="1:11" s="11" customFormat="1" ht="12" customHeight="1">
      <c r="A28" s="71" t="s">
        <v>107</v>
      </c>
      <c r="B28" s="43" t="s">
        <v>160</v>
      </c>
      <c r="C28" s="122">
        <v>15</v>
      </c>
      <c r="D28" s="40" t="s">
        <v>1</v>
      </c>
      <c r="E28" s="3">
        <v>22.55</v>
      </c>
      <c r="F28" s="94">
        <v>16.99</v>
      </c>
      <c r="G28" s="19">
        <f>E28+F28</f>
        <v>39.54</v>
      </c>
      <c r="H28" s="19">
        <f t="shared" si="8"/>
        <v>593.1</v>
      </c>
      <c r="I28" s="113">
        <f t="shared" si="9"/>
        <v>0.009631896640079804</v>
      </c>
      <c r="J28" s="96" t="s">
        <v>67</v>
      </c>
      <c r="K28" s="72">
        <v>71207</v>
      </c>
    </row>
    <row r="29" spans="1:11" s="11" customFormat="1" ht="12" customHeight="1">
      <c r="A29" s="71" t="s">
        <v>44</v>
      </c>
      <c r="B29" s="43" t="s">
        <v>113</v>
      </c>
      <c r="C29" s="122">
        <v>15</v>
      </c>
      <c r="D29" s="40" t="s">
        <v>1</v>
      </c>
      <c r="E29" s="3">
        <v>28.19</v>
      </c>
      <c r="F29" s="94">
        <v>24.96</v>
      </c>
      <c r="G29" s="19">
        <f>E29+F29</f>
        <v>53.150000000000006</v>
      </c>
      <c r="H29" s="19">
        <f t="shared" si="8"/>
        <v>797.2500000000001</v>
      </c>
      <c r="I29" s="113">
        <f t="shared" si="9"/>
        <v>0.012947276338397614</v>
      </c>
      <c r="J29" s="96" t="s">
        <v>67</v>
      </c>
      <c r="K29" s="72">
        <v>71208</v>
      </c>
    </row>
    <row r="30" spans="1:11" s="11" customFormat="1" ht="12" customHeight="1">
      <c r="A30" s="71" t="s">
        <v>108</v>
      </c>
      <c r="B30" s="43" t="s">
        <v>116</v>
      </c>
      <c r="C30" s="44">
        <v>38</v>
      </c>
      <c r="D30" s="40" t="s">
        <v>68</v>
      </c>
      <c r="E30" s="19">
        <f>0.3*G30</f>
        <v>36</v>
      </c>
      <c r="F30" s="19">
        <f>0.7*G30</f>
        <v>84</v>
      </c>
      <c r="G30" s="19">
        <v>120</v>
      </c>
      <c r="H30" s="19">
        <f t="shared" si="8"/>
        <v>4560</v>
      </c>
      <c r="I30" s="113">
        <f t="shared" si="9"/>
        <v>0.07405403587719424</v>
      </c>
      <c r="J30" s="310" t="s">
        <v>66</v>
      </c>
      <c r="K30" s="311"/>
    </row>
    <row r="31" spans="1:11" s="1" customFormat="1" ht="11.25">
      <c r="A31" s="71" t="s">
        <v>125</v>
      </c>
      <c r="B31" s="86" t="s">
        <v>118</v>
      </c>
      <c r="C31" s="83">
        <v>2</v>
      </c>
      <c r="D31" s="124" t="s">
        <v>14</v>
      </c>
      <c r="E31" s="97">
        <f>(G31*0.3)</f>
        <v>6.273</v>
      </c>
      <c r="F31" s="97">
        <f>(G31*0.7)</f>
        <v>14.636999999999999</v>
      </c>
      <c r="G31" s="3">
        <v>20.91</v>
      </c>
      <c r="H31" s="3">
        <f t="shared" si="8"/>
        <v>41.82</v>
      </c>
      <c r="I31" s="113">
        <f t="shared" si="9"/>
        <v>0.000679153460610584</v>
      </c>
      <c r="J31" s="310" t="s">
        <v>66</v>
      </c>
      <c r="K31" s="311"/>
    </row>
    <row r="32" spans="1:11" s="1" customFormat="1" ht="11.25">
      <c r="A32" s="71" t="s">
        <v>126</v>
      </c>
      <c r="B32" s="86" t="s">
        <v>124</v>
      </c>
      <c r="C32" s="83">
        <v>23</v>
      </c>
      <c r="D32" s="124" t="s">
        <v>14</v>
      </c>
      <c r="E32" s="97">
        <f>(G32*0.3)</f>
        <v>6.273</v>
      </c>
      <c r="F32" s="97">
        <f>(G32*0.7)</f>
        <v>14.636999999999999</v>
      </c>
      <c r="G32" s="3">
        <v>20.91</v>
      </c>
      <c r="H32" s="3">
        <f t="shared" si="8"/>
        <v>480.93</v>
      </c>
      <c r="I32" s="113">
        <f t="shared" si="9"/>
        <v>0.007810264797021717</v>
      </c>
      <c r="J32" s="310" t="s">
        <v>66</v>
      </c>
      <c r="K32" s="311"/>
    </row>
    <row r="33" spans="1:11" s="1" customFormat="1" ht="11.25">
      <c r="A33" s="71" t="s">
        <v>117</v>
      </c>
      <c r="B33" s="86" t="s">
        <v>120</v>
      </c>
      <c r="C33" s="83">
        <v>2</v>
      </c>
      <c r="D33" s="124" t="s">
        <v>14</v>
      </c>
      <c r="E33" s="97">
        <f>(G33*0.3)</f>
        <v>5.64</v>
      </c>
      <c r="F33" s="97">
        <f>(G33*0.7)</f>
        <v>13.16</v>
      </c>
      <c r="G33" s="3">
        <v>18.8</v>
      </c>
      <c r="H33" s="3">
        <f t="shared" si="8"/>
        <v>37.6</v>
      </c>
      <c r="I33" s="113">
        <f t="shared" si="9"/>
        <v>0.0006106209975838823</v>
      </c>
      <c r="J33" s="310" t="s">
        <v>66</v>
      </c>
      <c r="K33" s="311"/>
    </row>
    <row r="34" spans="1:11" s="1" customFormat="1" ht="11.25">
      <c r="A34" s="71" t="s">
        <v>119</v>
      </c>
      <c r="B34" s="86" t="s">
        <v>127</v>
      </c>
      <c r="C34" s="3"/>
      <c r="D34" s="5" t="s">
        <v>14</v>
      </c>
      <c r="E34" s="3">
        <v>0.54</v>
      </c>
      <c r="F34" s="3">
        <v>1.84</v>
      </c>
      <c r="G34" s="3">
        <f>F34+E34</f>
        <v>2.38</v>
      </c>
      <c r="H34" s="3">
        <f t="shared" si="8"/>
        <v>0</v>
      </c>
      <c r="I34" s="113">
        <f t="shared" si="9"/>
        <v>0</v>
      </c>
      <c r="J34" s="310" t="s">
        <v>66</v>
      </c>
      <c r="K34" s="311"/>
    </row>
    <row r="35" spans="1:11" s="11" customFormat="1" ht="11.25" customHeight="1">
      <c r="A35" s="111">
        <v>4</v>
      </c>
      <c r="B35" s="25" t="s">
        <v>24</v>
      </c>
      <c r="C35" s="52"/>
      <c r="D35" s="93"/>
      <c r="E35" s="52"/>
      <c r="F35" s="52"/>
      <c r="G35" s="52"/>
      <c r="H35" s="52"/>
      <c r="I35" s="114"/>
      <c r="J35" s="98"/>
      <c r="K35" s="99"/>
    </row>
    <row r="36" spans="1:11" s="11" customFormat="1" ht="11.25" customHeight="1">
      <c r="A36" s="109" t="s">
        <v>45</v>
      </c>
      <c r="B36" s="26" t="s">
        <v>139</v>
      </c>
      <c r="C36" s="49">
        <v>49</v>
      </c>
      <c r="D36" s="20" t="s">
        <v>14</v>
      </c>
      <c r="E36" s="3">
        <f>G36*0.15</f>
        <v>1.809</v>
      </c>
      <c r="F36" s="94">
        <f>G36*0.85</f>
        <v>10.251</v>
      </c>
      <c r="G36" s="3">
        <v>12.06</v>
      </c>
      <c r="H36" s="19">
        <f>G36*C36</f>
        <v>590.94</v>
      </c>
      <c r="I36" s="113">
        <f>H36/$H$8</f>
        <v>0.009596818412559029</v>
      </c>
      <c r="J36" s="96" t="s">
        <v>33</v>
      </c>
      <c r="K36" s="17" t="s">
        <v>69</v>
      </c>
    </row>
    <row r="37" spans="1:11" s="11" customFormat="1" ht="11.25" customHeight="1">
      <c r="A37" s="109" t="s">
        <v>47</v>
      </c>
      <c r="B37" s="31" t="s">
        <v>141</v>
      </c>
      <c r="C37" s="49">
        <v>1</v>
      </c>
      <c r="D37" s="20" t="s">
        <v>14</v>
      </c>
      <c r="E37" s="3">
        <f>G37*0.15</f>
        <v>11.922</v>
      </c>
      <c r="F37" s="94">
        <f>G37*0.85</f>
        <v>67.558</v>
      </c>
      <c r="G37" s="19">
        <v>79.48</v>
      </c>
      <c r="H37" s="19">
        <f>G37*C37</f>
        <v>79.48</v>
      </c>
      <c r="I37" s="113">
        <f>H37/$H$8</f>
        <v>0.0012907488534033768</v>
      </c>
      <c r="J37" s="96" t="s">
        <v>33</v>
      </c>
      <c r="K37" s="17" t="s">
        <v>31</v>
      </c>
    </row>
    <row r="38" spans="1:11" s="11" customFormat="1" ht="11.25" customHeight="1">
      <c r="A38" s="109" t="s">
        <v>48</v>
      </c>
      <c r="B38" s="31" t="s">
        <v>144</v>
      </c>
      <c r="C38" s="49">
        <v>1</v>
      </c>
      <c r="D38" s="20" t="s">
        <v>14</v>
      </c>
      <c r="E38" s="3">
        <f>G38*0.15</f>
        <v>16.0185</v>
      </c>
      <c r="F38" s="94">
        <f>G38*0.85</f>
        <v>90.7715</v>
      </c>
      <c r="G38" s="19">
        <v>106.79</v>
      </c>
      <c r="H38" s="19">
        <f>G38*C38</f>
        <v>106.79</v>
      </c>
      <c r="I38" s="113">
        <f>H38/$H$8</f>
        <v>0.001734261072659117</v>
      </c>
      <c r="J38" s="96" t="s">
        <v>33</v>
      </c>
      <c r="K38" s="17" t="s">
        <v>147</v>
      </c>
    </row>
    <row r="39" spans="1:11" s="11" customFormat="1" ht="11.25" customHeight="1">
      <c r="A39" s="109" t="s">
        <v>49</v>
      </c>
      <c r="B39" s="31" t="s">
        <v>145</v>
      </c>
      <c r="C39" s="49">
        <v>1</v>
      </c>
      <c r="D39" s="20" t="s">
        <v>14</v>
      </c>
      <c r="E39" s="3">
        <f>G39*0.15</f>
        <v>16.0185</v>
      </c>
      <c r="F39" s="94">
        <f>G39*0.85</f>
        <v>90.7715</v>
      </c>
      <c r="G39" s="19">
        <v>106.79</v>
      </c>
      <c r="H39" s="19">
        <v>100.35</v>
      </c>
      <c r="I39" s="113">
        <f>H39/$H$8</f>
        <v>0.0016296759869027285</v>
      </c>
      <c r="J39" s="96" t="s">
        <v>33</v>
      </c>
      <c r="K39" s="17" t="s">
        <v>147</v>
      </c>
    </row>
    <row r="40" spans="1:11" s="11" customFormat="1" ht="12" customHeight="1">
      <c r="A40" s="109" t="s">
        <v>105</v>
      </c>
      <c r="B40" s="31" t="s">
        <v>70</v>
      </c>
      <c r="C40" s="19">
        <v>4</v>
      </c>
      <c r="D40" s="20" t="s">
        <v>14</v>
      </c>
      <c r="E40" s="19">
        <v>28.19</v>
      </c>
      <c r="F40" s="19">
        <v>104.08</v>
      </c>
      <c r="G40" s="19">
        <f>F40+E40</f>
        <v>132.27</v>
      </c>
      <c r="H40" s="19">
        <f>G40*C40</f>
        <v>529.08</v>
      </c>
      <c r="I40" s="113">
        <f>H40/$H$8</f>
        <v>0.008592216952172353</v>
      </c>
      <c r="J40" s="96" t="s">
        <v>67</v>
      </c>
      <c r="K40" s="87">
        <v>71455</v>
      </c>
    </row>
    <row r="41" spans="1:11" s="11" customFormat="1" ht="11.25">
      <c r="A41" s="111">
        <v>5</v>
      </c>
      <c r="B41" s="25" t="s">
        <v>19</v>
      </c>
      <c r="C41" s="50"/>
      <c r="D41" s="24"/>
      <c r="E41" s="23"/>
      <c r="F41" s="23"/>
      <c r="G41" s="22"/>
      <c r="H41" s="22"/>
      <c r="I41" s="115"/>
      <c r="J41" s="98"/>
      <c r="K41" s="99"/>
    </row>
    <row r="42" spans="1:11" s="11" customFormat="1" ht="22.5">
      <c r="A42" s="109" t="s">
        <v>50</v>
      </c>
      <c r="B42" s="30" t="s">
        <v>86</v>
      </c>
      <c r="C42" s="49">
        <v>3000</v>
      </c>
      <c r="D42" s="89" t="s">
        <v>1</v>
      </c>
      <c r="E42" s="3">
        <f aca="true" t="shared" si="10" ref="E42:E54">G42*0.15</f>
        <v>0.4065</v>
      </c>
      <c r="F42" s="94">
        <f aca="true" t="shared" si="11" ref="F42:F54">G42*0.85</f>
        <v>2.3035</v>
      </c>
      <c r="G42" s="29">
        <v>2.71</v>
      </c>
      <c r="H42" s="29">
        <f aca="true" t="shared" si="12" ref="H42:H54">G42*C42</f>
        <v>8130</v>
      </c>
      <c r="I42" s="110">
        <f aca="true" t="shared" si="13" ref="I42:I54">H42/$H$8</f>
        <v>0.13203055080736606</v>
      </c>
      <c r="J42" s="96" t="s">
        <v>33</v>
      </c>
      <c r="K42" s="84">
        <v>91926</v>
      </c>
    </row>
    <row r="43" spans="1:11" s="11" customFormat="1" ht="22.5">
      <c r="A43" s="109" t="s">
        <v>51</v>
      </c>
      <c r="B43" s="30" t="s">
        <v>87</v>
      </c>
      <c r="C43" s="49">
        <v>3000</v>
      </c>
      <c r="D43" s="89" t="s">
        <v>1</v>
      </c>
      <c r="E43" s="3">
        <f t="shared" si="10"/>
        <v>0.4065</v>
      </c>
      <c r="F43" s="94">
        <f t="shared" si="11"/>
        <v>2.3035</v>
      </c>
      <c r="G43" s="29">
        <v>2.71</v>
      </c>
      <c r="H43" s="29">
        <f t="shared" si="12"/>
        <v>8130</v>
      </c>
      <c r="I43" s="110">
        <f t="shared" si="13"/>
        <v>0.13203055080736606</v>
      </c>
      <c r="J43" s="96" t="s">
        <v>33</v>
      </c>
      <c r="K43" s="84">
        <v>91926</v>
      </c>
    </row>
    <row r="44" spans="1:11" s="11" customFormat="1" ht="22.5">
      <c r="A44" s="109" t="s">
        <v>52</v>
      </c>
      <c r="B44" s="30" t="s">
        <v>88</v>
      </c>
      <c r="C44" s="49">
        <v>3000</v>
      </c>
      <c r="D44" s="20" t="s">
        <v>1</v>
      </c>
      <c r="E44" s="3">
        <f t="shared" si="10"/>
        <v>0.4065</v>
      </c>
      <c r="F44" s="94">
        <f t="shared" si="11"/>
        <v>2.3035</v>
      </c>
      <c r="G44" s="29">
        <v>2.71</v>
      </c>
      <c r="H44" s="29">
        <f t="shared" si="12"/>
        <v>8130</v>
      </c>
      <c r="I44" s="110">
        <f t="shared" si="13"/>
        <v>0.13203055080736606</v>
      </c>
      <c r="J44" s="96" t="s">
        <v>33</v>
      </c>
      <c r="K44" s="84">
        <v>91926</v>
      </c>
    </row>
    <row r="45" spans="1:11" s="11" customFormat="1" ht="22.5">
      <c r="A45" s="109" t="s">
        <v>53</v>
      </c>
      <c r="B45" s="30" t="s">
        <v>89</v>
      </c>
      <c r="C45" s="49">
        <v>1000</v>
      </c>
      <c r="D45" s="89" t="s">
        <v>1</v>
      </c>
      <c r="E45" s="3">
        <f t="shared" si="10"/>
        <v>0.4065</v>
      </c>
      <c r="F45" s="94">
        <f t="shared" si="11"/>
        <v>2.3035</v>
      </c>
      <c r="G45" s="29">
        <v>2.71</v>
      </c>
      <c r="H45" s="29">
        <f t="shared" si="12"/>
        <v>2710</v>
      </c>
      <c r="I45" s="110">
        <f t="shared" si="13"/>
        <v>0.04401018360245535</v>
      </c>
      <c r="J45" s="96" t="s">
        <v>33</v>
      </c>
      <c r="K45" s="84">
        <v>91926</v>
      </c>
    </row>
    <row r="46" spans="1:11" s="11" customFormat="1" ht="22.5">
      <c r="A46" s="109" t="s">
        <v>54</v>
      </c>
      <c r="B46" s="43" t="s">
        <v>90</v>
      </c>
      <c r="C46" s="54">
        <v>50</v>
      </c>
      <c r="D46" s="40" t="s">
        <v>1</v>
      </c>
      <c r="E46" s="3">
        <f t="shared" si="10"/>
        <v>0.9464999999999999</v>
      </c>
      <c r="F46" s="94">
        <f t="shared" si="11"/>
        <v>5.363499999999999</v>
      </c>
      <c r="G46" s="19">
        <v>6.31</v>
      </c>
      <c r="H46" s="19">
        <f t="shared" si="12"/>
        <v>315.5</v>
      </c>
      <c r="I46" s="113">
        <f t="shared" si="13"/>
        <v>0.005123694806854119</v>
      </c>
      <c r="J46" s="96" t="s">
        <v>33</v>
      </c>
      <c r="K46" s="72">
        <v>91931</v>
      </c>
    </row>
    <row r="47" spans="1:11" s="11" customFormat="1" ht="22.5">
      <c r="A47" s="109" t="s">
        <v>55</v>
      </c>
      <c r="B47" s="43" t="s">
        <v>91</v>
      </c>
      <c r="C47" s="54">
        <v>50</v>
      </c>
      <c r="D47" s="40" t="s">
        <v>1</v>
      </c>
      <c r="E47" s="3">
        <f t="shared" si="10"/>
        <v>0.9464999999999999</v>
      </c>
      <c r="F47" s="94">
        <f t="shared" si="11"/>
        <v>5.363499999999999</v>
      </c>
      <c r="G47" s="19">
        <v>6.31</v>
      </c>
      <c r="H47" s="19">
        <f t="shared" si="12"/>
        <v>315.5</v>
      </c>
      <c r="I47" s="113">
        <f t="shared" si="13"/>
        <v>0.005123694806854119</v>
      </c>
      <c r="J47" s="96" t="s">
        <v>33</v>
      </c>
      <c r="K47" s="72">
        <v>91931</v>
      </c>
    </row>
    <row r="48" spans="1:11" s="11" customFormat="1" ht="22.5">
      <c r="A48" s="109" t="s">
        <v>56</v>
      </c>
      <c r="B48" s="43" t="s">
        <v>92</v>
      </c>
      <c r="C48" s="54">
        <v>150</v>
      </c>
      <c r="D48" s="40" t="s">
        <v>1</v>
      </c>
      <c r="E48" s="3">
        <f t="shared" si="10"/>
        <v>0.9464999999999999</v>
      </c>
      <c r="F48" s="94">
        <f t="shared" si="11"/>
        <v>5.363499999999999</v>
      </c>
      <c r="G48" s="19">
        <v>6.31</v>
      </c>
      <c r="H48" s="19">
        <f t="shared" si="12"/>
        <v>946.4999999999999</v>
      </c>
      <c r="I48" s="113">
        <f t="shared" si="13"/>
        <v>0.015371084420562356</v>
      </c>
      <c r="J48" s="96" t="s">
        <v>33</v>
      </c>
      <c r="K48" s="72">
        <v>91931</v>
      </c>
    </row>
    <row r="49" spans="1:11" s="11" customFormat="1" ht="22.5">
      <c r="A49" s="109" t="s">
        <v>57</v>
      </c>
      <c r="B49" s="43" t="s">
        <v>153</v>
      </c>
      <c r="C49" s="54">
        <v>15</v>
      </c>
      <c r="D49" s="40" t="s">
        <v>1</v>
      </c>
      <c r="E49" s="3">
        <f t="shared" si="10"/>
        <v>1.449</v>
      </c>
      <c r="F49" s="94">
        <f t="shared" si="11"/>
        <v>8.211</v>
      </c>
      <c r="G49" s="19">
        <v>9.66</v>
      </c>
      <c r="H49" s="19">
        <f t="shared" si="12"/>
        <v>144.9</v>
      </c>
      <c r="I49" s="113">
        <f t="shared" si="13"/>
        <v>0.0023531644295187383</v>
      </c>
      <c r="J49" s="96" t="s">
        <v>33</v>
      </c>
      <c r="K49" s="72">
        <v>92982</v>
      </c>
    </row>
    <row r="50" spans="1:11" s="11" customFormat="1" ht="22.5">
      <c r="A50" s="109" t="s">
        <v>58</v>
      </c>
      <c r="B50" s="43" t="s">
        <v>155</v>
      </c>
      <c r="C50" s="54">
        <v>15</v>
      </c>
      <c r="D50" s="40" t="s">
        <v>1</v>
      </c>
      <c r="E50" s="3">
        <f t="shared" si="10"/>
        <v>1.449</v>
      </c>
      <c r="F50" s="94">
        <f t="shared" si="11"/>
        <v>8.211</v>
      </c>
      <c r="G50" s="19">
        <v>9.66</v>
      </c>
      <c r="H50" s="19">
        <f t="shared" si="12"/>
        <v>144.9</v>
      </c>
      <c r="I50" s="113">
        <f t="shared" si="13"/>
        <v>0.0023531644295187383</v>
      </c>
      <c r="J50" s="96" t="s">
        <v>33</v>
      </c>
      <c r="K50" s="72">
        <v>92982</v>
      </c>
    </row>
    <row r="51" spans="1:11" s="11" customFormat="1" ht="22.5">
      <c r="A51" s="109" t="s">
        <v>27</v>
      </c>
      <c r="B51" s="43" t="s">
        <v>154</v>
      </c>
      <c r="C51" s="54">
        <v>45</v>
      </c>
      <c r="D51" s="40" t="s">
        <v>1</v>
      </c>
      <c r="E51" s="3">
        <f t="shared" si="10"/>
        <v>1.449</v>
      </c>
      <c r="F51" s="94">
        <f t="shared" si="11"/>
        <v>8.211</v>
      </c>
      <c r="G51" s="19">
        <v>9.66</v>
      </c>
      <c r="H51" s="19">
        <f t="shared" si="12"/>
        <v>434.7</v>
      </c>
      <c r="I51" s="113">
        <f t="shared" si="13"/>
        <v>0.007059493288556214</v>
      </c>
      <c r="J51" s="96" t="s">
        <v>33</v>
      </c>
      <c r="K51" s="72">
        <v>92982</v>
      </c>
    </row>
    <row r="52" spans="1:11" s="11" customFormat="1" ht="22.5">
      <c r="A52" s="109" t="s">
        <v>30</v>
      </c>
      <c r="B52" s="43" t="s">
        <v>153</v>
      </c>
      <c r="C52" s="54">
        <v>15</v>
      </c>
      <c r="D52" s="40" t="s">
        <v>1</v>
      </c>
      <c r="E52" s="3">
        <f t="shared" si="10"/>
        <v>1.449</v>
      </c>
      <c r="F52" s="94">
        <f t="shared" si="11"/>
        <v>8.211</v>
      </c>
      <c r="G52" s="19">
        <v>9.66</v>
      </c>
      <c r="H52" s="19">
        <f t="shared" si="12"/>
        <v>144.9</v>
      </c>
      <c r="I52" s="113">
        <f t="shared" si="13"/>
        <v>0.0023531644295187383</v>
      </c>
      <c r="J52" s="96" t="s">
        <v>33</v>
      </c>
      <c r="K52" s="72">
        <v>92982</v>
      </c>
    </row>
    <row r="53" spans="1:11" s="11" customFormat="1" ht="22.5">
      <c r="A53" s="109" t="s">
        <v>29</v>
      </c>
      <c r="B53" s="43" t="s">
        <v>157</v>
      </c>
      <c r="C53" s="54">
        <v>15</v>
      </c>
      <c r="D53" s="40" t="s">
        <v>1</v>
      </c>
      <c r="E53" s="3">
        <f t="shared" si="10"/>
        <v>2.4164999999999996</v>
      </c>
      <c r="F53" s="94">
        <f t="shared" si="11"/>
        <v>13.693499999999998</v>
      </c>
      <c r="G53" s="19">
        <v>16.11</v>
      </c>
      <c r="H53" s="19">
        <f t="shared" si="12"/>
        <v>241.64999999999998</v>
      </c>
      <c r="I53" s="113">
        <f t="shared" si="13"/>
        <v>0.003924376703886839</v>
      </c>
      <c r="J53" s="96" t="s">
        <v>33</v>
      </c>
      <c r="K53" s="72">
        <v>92984</v>
      </c>
    </row>
    <row r="54" spans="1:11" s="11" customFormat="1" ht="22.5">
      <c r="A54" s="109" t="s">
        <v>28</v>
      </c>
      <c r="B54" s="43" t="s">
        <v>156</v>
      </c>
      <c r="C54" s="54">
        <v>45</v>
      </c>
      <c r="D54" s="40" t="s">
        <v>1</v>
      </c>
      <c r="E54" s="3">
        <f t="shared" si="10"/>
        <v>2.4164999999999996</v>
      </c>
      <c r="F54" s="94">
        <f t="shared" si="11"/>
        <v>13.693499999999998</v>
      </c>
      <c r="G54" s="19">
        <v>16.11</v>
      </c>
      <c r="H54" s="19">
        <f t="shared" si="12"/>
        <v>724.9499999999999</v>
      </c>
      <c r="I54" s="113">
        <f t="shared" si="13"/>
        <v>0.011773130111660517</v>
      </c>
      <c r="J54" s="96" t="s">
        <v>33</v>
      </c>
      <c r="K54" s="72">
        <v>92984</v>
      </c>
    </row>
    <row r="55" spans="1:11" s="11" customFormat="1" ht="11.25">
      <c r="A55" s="111">
        <v>6</v>
      </c>
      <c r="B55" s="25" t="s">
        <v>21</v>
      </c>
      <c r="C55" s="50"/>
      <c r="D55" s="28"/>
      <c r="E55" s="27"/>
      <c r="F55" s="27"/>
      <c r="G55" s="22"/>
      <c r="H55" s="22"/>
      <c r="I55" s="112"/>
      <c r="J55" s="98"/>
      <c r="K55" s="99"/>
    </row>
    <row r="56" spans="1:11" s="11" customFormat="1" ht="11.25">
      <c r="A56" s="109" t="s">
        <v>59</v>
      </c>
      <c r="B56" s="88" t="s">
        <v>82</v>
      </c>
      <c r="C56" s="49">
        <v>23</v>
      </c>
      <c r="D56" s="20" t="s">
        <v>14</v>
      </c>
      <c r="E56" s="3">
        <f>G56*0.15</f>
        <v>2.9295</v>
      </c>
      <c r="F56" s="94">
        <f>G56*0.85</f>
        <v>16.6005</v>
      </c>
      <c r="G56" s="19">
        <v>19.53</v>
      </c>
      <c r="H56" s="19">
        <f>G56*C56</f>
        <v>449.19000000000005</v>
      </c>
      <c r="I56" s="113">
        <f>H56/$H$8</f>
        <v>0.007294809731508089</v>
      </c>
      <c r="J56" s="96" t="s">
        <v>33</v>
      </c>
      <c r="K56" s="87">
        <v>91953</v>
      </c>
    </row>
    <row r="57" spans="1:11" s="11" customFormat="1" ht="11.25" customHeight="1">
      <c r="A57" s="109" t="s">
        <v>106</v>
      </c>
      <c r="B57" s="88" t="s">
        <v>94</v>
      </c>
      <c r="C57" s="49">
        <v>11</v>
      </c>
      <c r="D57" s="20" t="s">
        <v>14</v>
      </c>
      <c r="E57" s="3">
        <f>G57*0.15</f>
        <v>4.672499999999999</v>
      </c>
      <c r="F57" s="94">
        <f>G57*0.85</f>
        <v>26.4775</v>
      </c>
      <c r="G57" s="19">
        <v>31.15</v>
      </c>
      <c r="H57" s="19">
        <v>29.67</v>
      </c>
      <c r="I57" s="113">
        <f>H57/$H$8</f>
        <v>0.0004818384308062178</v>
      </c>
      <c r="J57" s="96" t="s">
        <v>33</v>
      </c>
      <c r="K57" s="87">
        <v>91959</v>
      </c>
    </row>
    <row r="58" spans="1:11" s="11" customFormat="1" ht="12" customHeight="1">
      <c r="A58" s="109" t="s">
        <v>121</v>
      </c>
      <c r="B58" s="21" t="s">
        <v>128</v>
      </c>
      <c r="C58" s="49">
        <v>3</v>
      </c>
      <c r="D58" s="20" t="s">
        <v>14</v>
      </c>
      <c r="E58" s="3">
        <f>G58*0.15</f>
        <v>3.6914999999999996</v>
      </c>
      <c r="F58" s="94">
        <f>G58*0.85</f>
        <v>20.918499999999998</v>
      </c>
      <c r="G58" s="19">
        <v>24.61</v>
      </c>
      <c r="H58" s="19">
        <f>G58*C58</f>
        <v>73.83</v>
      </c>
      <c r="I58" s="113">
        <f>H58/$H$8</f>
        <v>0.0011989933045643093</v>
      </c>
      <c r="J58" s="96" t="s">
        <v>33</v>
      </c>
      <c r="K58" s="87">
        <v>91955</v>
      </c>
    </row>
    <row r="59" spans="1:11" s="11" customFormat="1" ht="12" customHeight="1">
      <c r="A59" s="109" t="s">
        <v>123</v>
      </c>
      <c r="B59" s="21" t="s">
        <v>171</v>
      </c>
      <c r="C59" s="49">
        <v>2</v>
      </c>
      <c r="D59" s="20" t="s">
        <v>14</v>
      </c>
      <c r="E59" s="3">
        <f>G59*0.15</f>
        <v>6.192</v>
      </c>
      <c r="F59" s="94">
        <f>G59*0.85</f>
        <v>35.088</v>
      </c>
      <c r="G59" s="19">
        <v>41.28</v>
      </c>
      <c r="H59" s="19">
        <f>G59*C59</f>
        <v>82.56</v>
      </c>
      <c r="I59" s="113">
        <f>H59/$H$8</f>
        <v>0.00134076780746078</v>
      </c>
      <c r="J59" s="96" t="s">
        <v>33</v>
      </c>
      <c r="K59" s="87">
        <v>91961</v>
      </c>
    </row>
    <row r="60" spans="1:11" s="11" customFormat="1" ht="11.25">
      <c r="A60" s="111">
        <v>7</v>
      </c>
      <c r="B60" s="25" t="s">
        <v>17</v>
      </c>
      <c r="C60" s="50"/>
      <c r="D60" s="24"/>
      <c r="E60" s="23"/>
      <c r="F60" s="23"/>
      <c r="G60" s="22"/>
      <c r="H60" s="22"/>
      <c r="I60" s="112"/>
      <c r="J60" s="98"/>
      <c r="K60" s="98"/>
    </row>
    <row r="61" spans="1:11" s="11" customFormat="1" ht="34.5" customHeight="1">
      <c r="A61" s="109" t="s">
        <v>60</v>
      </c>
      <c r="B61" s="21" t="s">
        <v>340</v>
      </c>
      <c r="C61" s="49">
        <v>33</v>
      </c>
      <c r="D61" s="40" t="s">
        <v>14</v>
      </c>
      <c r="E61" s="19">
        <f>0.1765*F61</f>
        <v>6.177499999999999</v>
      </c>
      <c r="F61" s="53">
        <v>35</v>
      </c>
      <c r="G61" s="19">
        <f>F61+E61</f>
        <v>41.1775</v>
      </c>
      <c r="H61" s="18">
        <f>G61*C61</f>
        <v>1358.8575</v>
      </c>
      <c r="I61" s="113">
        <f>H61/$H$8</f>
        <v>0.022067737293200544</v>
      </c>
      <c r="J61" s="310" t="s">
        <v>66</v>
      </c>
      <c r="K61" s="311"/>
    </row>
    <row r="62" spans="1:11" s="1" customFormat="1" ht="33" customHeight="1">
      <c r="A62" s="109" t="s">
        <v>61</v>
      </c>
      <c r="B62" s="6" t="s">
        <v>115</v>
      </c>
      <c r="C62" s="83">
        <v>8</v>
      </c>
      <c r="D62" s="5" t="s">
        <v>14</v>
      </c>
      <c r="E62" s="97">
        <f>G62*0.3</f>
        <v>12.564</v>
      </c>
      <c r="F62" s="97">
        <f>0.7*G62</f>
        <v>29.316</v>
      </c>
      <c r="G62" s="3">
        <v>41.88</v>
      </c>
      <c r="H62" s="125">
        <f>G62*C62</f>
        <v>335.04</v>
      </c>
      <c r="I62" s="113">
        <f>H62/$H$8</f>
        <v>0.005441022846555957</v>
      </c>
      <c r="J62" s="310" t="s">
        <v>66</v>
      </c>
      <c r="K62" s="311"/>
    </row>
    <row r="63" spans="1:11" ht="12.75">
      <c r="A63" s="109" t="s">
        <v>62</v>
      </c>
      <c r="B63" s="42" t="s">
        <v>22</v>
      </c>
      <c r="C63" s="41">
        <v>17</v>
      </c>
      <c r="D63" s="40" t="s">
        <v>14</v>
      </c>
      <c r="E63" s="19">
        <f>0.1765*F63</f>
        <v>7.042349999999999</v>
      </c>
      <c r="F63" s="29">
        <v>39.9</v>
      </c>
      <c r="G63" s="19">
        <f>F63+E63</f>
        <v>46.94235</v>
      </c>
      <c r="H63" s="19">
        <f>G63*C63</f>
        <v>798.01995</v>
      </c>
      <c r="I63" s="113">
        <f>H63/$H$8</f>
        <v>0.012959780264915954</v>
      </c>
      <c r="J63" s="310" t="s">
        <v>66</v>
      </c>
      <c r="K63" s="311"/>
    </row>
    <row r="64" spans="1:9" ht="12.75">
      <c r="A64" s="312" t="s">
        <v>3</v>
      </c>
      <c r="B64" s="279"/>
      <c r="C64" s="279"/>
      <c r="D64" s="279"/>
      <c r="E64" s="279"/>
      <c r="F64" s="279"/>
      <c r="G64" s="280"/>
      <c r="H64" s="16">
        <f>SUM(H10:H63)</f>
        <v>61576.65745</v>
      </c>
      <c r="I64" s="116">
        <f>SUM(I10:I63)</f>
        <v>0.9999999999999999</v>
      </c>
    </row>
    <row r="65" spans="1:9" ht="12.75">
      <c r="A65" s="312" t="s">
        <v>36</v>
      </c>
      <c r="B65" s="279"/>
      <c r="C65" s="279"/>
      <c r="D65" s="279"/>
      <c r="E65" s="279"/>
      <c r="F65" s="279"/>
      <c r="G65" s="280"/>
      <c r="H65" s="16">
        <f>H64*0.22</f>
        <v>13546.864639</v>
      </c>
      <c r="I65" s="117">
        <v>0.22</v>
      </c>
    </row>
    <row r="66" spans="1:9" ht="13.5" thickBot="1">
      <c r="A66" s="313" t="s">
        <v>4</v>
      </c>
      <c r="B66" s="314"/>
      <c r="C66" s="314"/>
      <c r="D66" s="314"/>
      <c r="E66" s="314"/>
      <c r="F66" s="314"/>
      <c r="G66" s="315"/>
      <c r="H66" s="118">
        <f>H64+H65</f>
        <v>75123.522089</v>
      </c>
      <c r="I66" s="119"/>
    </row>
    <row r="67" spans="1:9" ht="12.75">
      <c r="A67" s="15"/>
      <c r="B67" s="13"/>
      <c r="C67" s="12"/>
      <c r="D67" s="11"/>
      <c r="E67" s="11"/>
      <c r="F67" s="11"/>
      <c r="G67" s="11"/>
      <c r="H67" s="11"/>
      <c r="I67" s="11"/>
    </row>
    <row r="68" spans="1:9" ht="12.75">
      <c r="A68" s="14"/>
      <c r="B68" s="13"/>
      <c r="C68" s="12"/>
      <c r="D68" s="11"/>
      <c r="E68" s="11"/>
      <c r="F68" s="11"/>
      <c r="G68" s="11"/>
      <c r="H68" s="11"/>
      <c r="I68" s="11"/>
    </row>
    <row r="69" spans="1:9" ht="12.75">
      <c r="A69" s="14"/>
      <c r="B69" s="13"/>
      <c r="C69" s="12"/>
      <c r="D69" s="11"/>
      <c r="E69" s="11"/>
      <c r="F69" s="11"/>
      <c r="G69" s="11"/>
      <c r="H69" s="11"/>
      <c r="I69" s="11"/>
    </row>
  </sheetData>
  <sheetProtection/>
  <mergeCells count="17">
    <mergeCell ref="J61:K61"/>
    <mergeCell ref="C1:I1"/>
    <mergeCell ref="C2:I2"/>
    <mergeCell ref="D3:E3"/>
    <mergeCell ref="C4:E4"/>
    <mergeCell ref="G4:I4"/>
    <mergeCell ref="A6:I6"/>
    <mergeCell ref="A66:G66"/>
    <mergeCell ref="J62:K62"/>
    <mergeCell ref="J63:K63"/>
    <mergeCell ref="A64:G64"/>
    <mergeCell ref="A65:G65"/>
    <mergeCell ref="J30:K30"/>
    <mergeCell ref="J31:K31"/>
    <mergeCell ref="J32:K32"/>
    <mergeCell ref="J33:K33"/>
    <mergeCell ref="J34:K34"/>
  </mergeCells>
  <printOptions horizontalCentered="1" verticalCentered="1"/>
  <pageMargins left="0.5118110236220472" right="0.5118110236220472" top="0.7874015748031497" bottom="1.9291338582677167" header="0.31496062992125984" footer="0.31496062992125984"/>
  <pageSetup horizontalDpi="600" verticalDpi="600" orientation="landscape" paperSize="9" scale="85" r:id="rId2"/>
  <headerFooter>
    <oddFooter>&amp;L&amp;A
Páginas ( &amp;P/&amp;N)&amp;R________________________
Fernando Melo Franco
Engº Eletricista CREA 11.179/D-GO
G5 ENGENHARIA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6"/>
  <sheetViews>
    <sheetView zoomScale="90" zoomScaleNormal="90" zoomScaleSheetLayoutView="100" workbookViewId="0" topLeftCell="A464">
      <pane ySplit="465" topLeftCell="A16" activePane="bottomLeft" state="split"/>
      <selection pane="topLeft" activeCell="C2" sqref="C2:I2"/>
      <selection pane="bottomLeft" activeCell="B57" sqref="B57"/>
    </sheetView>
  </sheetViews>
  <sheetFormatPr defaultColWidth="9.140625" defaultRowHeight="12.75"/>
  <cols>
    <col min="1" max="1" width="5.8515625" style="10" customWidth="1"/>
    <col min="2" max="2" width="91.7109375" style="9" customWidth="1"/>
    <col min="3" max="3" width="8.421875" style="8" bestFit="1" customWidth="1"/>
    <col min="4" max="4" width="4.421875" style="7" customWidth="1"/>
    <col min="5" max="5" width="8.57421875" style="7" customWidth="1"/>
    <col min="6" max="6" width="10.00390625" style="7" customWidth="1"/>
    <col min="7" max="7" width="12.57421875" style="7" customWidth="1"/>
    <col min="8" max="8" width="10.8515625" style="7" customWidth="1"/>
    <col min="9" max="9" width="10.421875" style="7" customWidth="1"/>
    <col min="10" max="10" width="8.8515625" style="7" customWidth="1"/>
    <col min="11" max="11" width="10.57421875" style="7" customWidth="1"/>
    <col min="12" max="16384" width="9.140625" style="7" customWidth="1"/>
  </cols>
  <sheetData>
    <row r="1" spans="1:11" ht="21">
      <c r="A1" s="218"/>
      <c r="B1" s="219" t="s">
        <v>161</v>
      </c>
      <c r="C1" s="319" t="s">
        <v>252</v>
      </c>
      <c r="D1" s="320"/>
      <c r="E1" s="320"/>
      <c r="F1" s="320"/>
      <c r="G1" s="320"/>
      <c r="H1" s="320"/>
      <c r="I1" s="321"/>
      <c r="J1" s="220"/>
      <c r="K1" s="220"/>
    </row>
    <row r="2" spans="1:11" ht="24" customHeight="1">
      <c r="A2" s="221"/>
      <c r="B2" s="222"/>
      <c r="C2" s="319" t="s">
        <v>163</v>
      </c>
      <c r="D2" s="320"/>
      <c r="E2" s="320"/>
      <c r="F2" s="320"/>
      <c r="G2" s="320"/>
      <c r="H2" s="320"/>
      <c r="I2" s="321"/>
      <c r="J2" s="220"/>
      <c r="K2" s="220"/>
    </row>
    <row r="3" spans="1:11" ht="21">
      <c r="A3" s="221"/>
      <c r="B3" s="222"/>
      <c r="C3" s="223" t="s">
        <v>0</v>
      </c>
      <c r="D3" s="322"/>
      <c r="E3" s="322"/>
      <c r="F3" s="224" t="s">
        <v>2</v>
      </c>
      <c r="G3" s="223" t="s">
        <v>25</v>
      </c>
      <c r="H3" s="225"/>
      <c r="I3" s="224"/>
      <c r="J3" s="220"/>
      <c r="K3" s="220"/>
    </row>
    <row r="4" spans="1:11" ht="21">
      <c r="A4" s="226"/>
      <c r="B4" s="227"/>
      <c r="C4" s="323" t="s">
        <v>20</v>
      </c>
      <c r="D4" s="324"/>
      <c r="E4" s="324"/>
      <c r="F4" s="228"/>
      <c r="G4" s="323" t="s">
        <v>35</v>
      </c>
      <c r="H4" s="324"/>
      <c r="I4" s="325"/>
      <c r="J4" s="220"/>
      <c r="K4" s="11"/>
    </row>
    <row r="5" spans="1:11" ht="13.5" thickBot="1">
      <c r="A5" s="229"/>
      <c r="B5" s="230"/>
      <c r="C5" s="231"/>
      <c r="D5" s="232"/>
      <c r="E5" s="232"/>
      <c r="F5" s="232"/>
      <c r="G5" s="232"/>
      <c r="H5" s="232"/>
      <c r="I5" s="233"/>
      <c r="J5" s="11"/>
      <c r="K5" s="11"/>
    </row>
    <row r="6" spans="1:9" s="32" customFormat="1" ht="12" customHeight="1" thickBot="1">
      <c r="A6" s="316" t="s">
        <v>26</v>
      </c>
      <c r="B6" s="317"/>
      <c r="C6" s="317"/>
      <c r="D6" s="317"/>
      <c r="E6" s="317"/>
      <c r="F6" s="317"/>
      <c r="G6" s="317"/>
      <c r="H6" s="317"/>
      <c r="I6" s="318"/>
    </row>
    <row r="7" spans="1:9" s="34" customFormat="1" ht="12" customHeight="1" thickBot="1">
      <c r="A7" s="39" t="s">
        <v>5</v>
      </c>
      <c r="B7" s="38" t="s">
        <v>6</v>
      </c>
      <c r="C7" s="37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5" t="s">
        <v>13</v>
      </c>
    </row>
    <row r="8" spans="1:11" s="32" customFormat="1" ht="12" customHeight="1">
      <c r="A8" s="101"/>
      <c r="B8" s="102" t="s">
        <v>23</v>
      </c>
      <c r="C8" s="103" t="s">
        <v>15</v>
      </c>
      <c r="D8" s="103"/>
      <c r="E8" s="104"/>
      <c r="F8" s="104"/>
      <c r="G8" s="104"/>
      <c r="H8" s="105">
        <f>H61</f>
        <v>72369.34294999999</v>
      </c>
      <c r="I8" s="106">
        <f>I61</f>
        <v>1.0000000000000002</v>
      </c>
      <c r="K8" s="33"/>
    </row>
    <row r="9" spans="1:256" s="32" customFormat="1" ht="12" customHeight="1">
      <c r="A9" s="107">
        <v>1</v>
      </c>
      <c r="B9" s="80" t="s">
        <v>18</v>
      </c>
      <c r="C9" s="81"/>
      <c r="D9" s="81"/>
      <c r="E9" s="82"/>
      <c r="F9" s="82"/>
      <c r="G9" s="82"/>
      <c r="H9" s="82"/>
      <c r="I9" s="108"/>
      <c r="J9" s="79"/>
      <c r="K9" s="75"/>
      <c r="L9" s="76"/>
      <c r="M9" s="76"/>
      <c r="N9" s="77"/>
      <c r="O9" s="77"/>
      <c r="P9" s="77"/>
      <c r="Q9" s="77"/>
      <c r="R9" s="78"/>
      <c r="S9" s="79"/>
      <c r="T9" s="75"/>
      <c r="U9" s="76"/>
      <c r="V9" s="76"/>
      <c r="W9" s="77"/>
      <c r="X9" s="77"/>
      <c r="Y9" s="77"/>
      <c r="Z9" s="77"/>
      <c r="AA9" s="78"/>
      <c r="AB9" s="79"/>
      <c r="AC9" s="75"/>
      <c r="AD9" s="76"/>
      <c r="AE9" s="76"/>
      <c r="AF9" s="77"/>
      <c r="AG9" s="77"/>
      <c r="AH9" s="77"/>
      <c r="AI9" s="77"/>
      <c r="AJ9" s="78"/>
      <c r="AK9" s="79"/>
      <c r="AL9" s="75"/>
      <c r="AM9" s="76"/>
      <c r="AN9" s="76"/>
      <c r="AO9" s="77"/>
      <c r="AP9" s="77"/>
      <c r="AQ9" s="77"/>
      <c r="AR9" s="77"/>
      <c r="AS9" s="78"/>
      <c r="AT9" s="79"/>
      <c r="AU9" s="75"/>
      <c r="AV9" s="76"/>
      <c r="AW9" s="76"/>
      <c r="AX9" s="77"/>
      <c r="AY9" s="77"/>
      <c r="AZ9" s="77"/>
      <c r="BA9" s="77"/>
      <c r="BB9" s="78"/>
      <c r="BC9" s="79"/>
      <c r="BD9" s="75"/>
      <c r="BE9" s="76"/>
      <c r="BF9" s="76"/>
      <c r="BG9" s="77"/>
      <c r="BH9" s="77"/>
      <c r="BI9" s="77"/>
      <c r="BJ9" s="77"/>
      <c r="BK9" s="78"/>
      <c r="BL9" s="79"/>
      <c r="BM9" s="75"/>
      <c r="BN9" s="76"/>
      <c r="BO9" s="76"/>
      <c r="BP9" s="77"/>
      <c r="BQ9" s="77"/>
      <c r="BR9" s="77"/>
      <c r="BS9" s="77"/>
      <c r="BT9" s="78"/>
      <c r="BU9" s="79"/>
      <c r="BV9" s="75"/>
      <c r="BW9" s="76"/>
      <c r="BX9" s="76"/>
      <c r="BY9" s="77"/>
      <c r="BZ9" s="77"/>
      <c r="CA9" s="77"/>
      <c r="CB9" s="77"/>
      <c r="CC9" s="78"/>
      <c r="CD9" s="79"/>
      <c r="CE9" s="75"/>
      <c r="CF9" s="76"/>
      <c r="CG9" s="76"/>
      <c r="CH9" s="77"/>
      <c r="CI9" s="77"/>
      <c r="CJ9" s="77"/>
      <c r="CK9" s="77"/>
      <c r="CL9" s="78"/>
      <c r="CM9" s="79"/>
      <c r="CN9" s="75"/>
      <c r="CO9" s="76"/>
      <c r="CP9" s="76"/>
      <c r="CQ9" s="77"/>
      <c r="CR9" s="77"/>
      <c r="CS9" s="77"/>
      <c r="CT9" s="77"/>
      <c r="CU9" s="78"/>
      <c r="CV9" s="79"/>
      <c r="CW9" s="75"/>
      <c r="CX9" s="76"/>
      <c r="CY9" s="76"/>
      <c r="CZ9" s="77"/>
      <c r="DA9" s="77"/>
      <c r="DB9" s="77"/>
      <c r="DC9" s="77"/>
      <c r="DD9" s="78"/>
      <c r="DE9" s="79"/>
      <c r="DF9" s="75"/>
      <c r="DG9" s="76"/>
      <c r="DH9" s="76"/>
      <c r="DI9" s="77"/>
      <c r="DJ9" s="77"/>
      <c r="DK9" s="77"/>
      <c r="DL9" s="77"/>
      <c r="DM9" s="78"/>
      <c r="DN9" s="79"/>
      <c r="DO9" s="75"/>
      <c r="DP9" s="76"/>
      <c r="DQ9" s="76"/>
      <c r="DR9" s="77"/>
      <c r="DS9" s="77"/>
      <c r="DT9" s="77"/>
      <c r="DU9" s="77"/>
      <c r="DV9" s="78"/>
      <c r="DW9" s="79"/>
      <c r="DX9" s="75"/>
      <c r="DY9" s="76"/>
      <c r="DZ9" s="76"/>
      <c r="EA9" s="77"/>
      <c r="EB9" s="77"/>
      <c r="EC9" s="77"/>
      <c r="ED9" s="77"/>
      <c r="EE9" s="78"/>
      <c r="EF9" s="79"/>
      <c r="EG9" s="75"/>
      <c r="EH9" s="76"/>
      <c r="EI9" s="76"/>
      <c r="EJ9" s="77"/>
      <c r="EK9" s="77"/>
      <c r="EL9" s="77"/>
      <c r="EM9" s="77"/>
      <c r="EN9" s="78"/>
      <c r="EO9" s="79"/>
      <c r="EP9" s="75"/>
      <c r="EQ9" s="76"/>
      <c r="ER9" s="76"/>
      <c r="ES9" s="77"/>
      <c r="ET9" s="77"/>
      <c r="EU9" s="77"/>
      <c r="EV9" s="77"/>
      <c r="EW9" s="78"/>
      <c r="EX9" s="79"/>
      <c r="EY9" s="75"/>
      <c r="EZ9" s="76"/>
      <c r="FA9" s="76"/>
      <c r="FB9" s="77"/>
      <c r="FC9" s="77"/>
      <c r="FD9" s="77"/>
      <c r="FE9" s="77"/>
      <c r="FF9" s="78"/>
      <c r="FG9" s="79"/>
      <c r="FH9" s="75"/>
      <c r="FI9" s="76"/>
      <c r="FJ9" s="76"/>
      <c r="FK9" s="77"/>
      <c r="FL9" s="77"/>
      <c r="FM9" s="77"/>
      <c r="FN9" s="77"/>
      <c r="FO9" s="78"/>
      <c r="FP9" s="79"/>
      <c r="FQ9" s="75"/>
      <c r="FR9" s="76"/>
      <c r="FS9" s="76"/>
      <c r="FT9" s="77"/>
      <c r="FU9" s="77"/>
      <c r="FV9" s="77"/>
      <c r="FW9" s="77"/>
      <c r="FX9" s="78"/>
      <c r="FY9" s="79"/>
      <c r="FZ9" s="75"/>
      <c r="GA9" s="76"/>
      <c r="GB9" s="76"/>
      <c r="GC9" s="77"/>
      <c r="GD9" s="77"/>
      <c r="GE9" s="77"/>
      <c r="GF9" s="77"/>
      <c r="GG9" s="78"/>
      <c r="GH9" s="79"/>
      <c r="GI9" s="75"/>
      <c r="GJ9" s="76"/>
      <c r="GK9" s="76"/>
      <c r="GL9" s="77"/>
      <c r="GM9" s="77"/>
      <c r="GN9" s="77"/>
      <c r="GO9" s="77"/>
      <c r="GP9" s="78"/>
      <c r="GQ9" s="79"/>
      <c r="GR9" s="75"/>
      <c r="GS9" s="76"/>
      <c r="GT9" s="76"/>
      <c r="GU9" s="77"/>
      <c r="GV9" s="77"/>
      <c r="GW9" s="77"/>
      <c r="GX9" s="77"/>
      <c r="GY9" s="78"/>
      <c r="GZ9" s="79"/>
      <c r="HA9" s="75"/>
      <c r="HB9" s="76"/>
      <c r="HC9" s="76"/>
      <c r="HD9" s="77"/>
      <c r="HE9" s="77"/>
      <c r="HF9" s="77"/>
      <c r="HG9" s="77"/>
      <c r="HH9" s="78"/>
      <c r="HI9" s="79"/>
      <c r="HJ9" s="75"/>
      <c r="HK9" s="76"/>
      <c r="HL9" s="76"/>
      <c r="HM9" s="77"/>
      <c r="HN9" s="77"/>
      <c r="HO9" s="77"/>
      <c r="HP9" s="77"/>
      <c r="HQ9" s="78"/>
      <c r="HR9" s="79"/>
      <c r="HS9" s="75"/>
      <c r="HT9" s="76"/>
      <c r="HU9" s="76"/>
      <c r="HV9" s="77"/>
      <c r="HW9" s="77"/>
      <c r="HX9" s="77"/>
      <c r="HY9" s="77"/>
      <c r="HZ9" s="78"/>
      <c r="IA9" s="79"/>
      <c r="IB9" s="75"/>
      <c r="IC9" s="76"/>
      <c r="ID9" s="76"/>
      <c r="IE9" s="77"/>
      <c r="IF9" s="77"/>
      <c r="IG9" s="77"/>
      <c r="IH9" s="77"/>
      <c r="II9" s="78"/>
      <c r="IJ9" s="79"/>
      <c r="IK9" s="75"/>
      <c r="IL9" s="76"/>
      <c r="IM9" s="76"/>
      <c r="IN9" s="77"/>
      <c r="IO9" s="77"/>
      <c r="IP9" s="77"/>
      <c r="IQ9" s="77"/>
      <c r="IR9" s="78"/>
      <c r="IS9" s="79"/>
      <c r="IT9" s="75"/>
      <c r="IU9" s="76"/>
      <c r="IV9" s="76"/>
    </row>
    <row r="10" spans="1:11" s="11" customFormat="1" ht="12" customHeight="1">
      <c r="A10" s="109" t="s">
        <v>37</v>
      </c>
      <c r="B10" s="30" t="s">
        <v>77</v>
      </c>
      <c r="C10" s="49">
        <v>3</v>
      </c>
      <c r="D10" s="89" t="s">
        <v>14</v>
      </c>
      <c r="E10" s="53">
        <f>G10*0.15</f>
        <v>3.1305</v>
      </c>
      <c r="F10" s="53">
        <f>G10*0.85</f>
        <v>17.7395</v>
      </c>
      <c r="G10" s="29">
        <v>20.87</v>
      </c>
      <c r="H10" s="29">
        <f>G10*C10</f>
        <v>62.61</v>
      </c>
      <c r="I10" s="110">
        <f>H10/$H$8</f>
        <v>0.0008651453425970342</v>
      </c>
      <c r="J10" s="96" t="s">
        <v>33</v>
      </c>
      <c r="K10" s="84">
        <v>91996</v>
      </c>
    </row>
    <row r="11" spans="1:11" s="11" customFormat="1" ht="11.25" customHeight="1">
      <c r="A11" s="109" t="s">
        <v>38</v>
      </c>
      <c r="B11" s="30" t="s">
        <v>133</v>
      </c>
      <c r="C11" s="49">
        <v>34</v>
      </c>
      <c r="D11" s="89" t="s">
        <v>14</v>
      </c>
      <c r="E11" s="53">
        <f>G11*0.15</f>
        <v>2.7825</v>
      </c>
      <c r="F11" s="53">
        <f>G11*0.85</f>
        <v>15.7675</v>
      </c>
      <c r="G11" s="29">
        <v>18.55</v>
      </c>
      <c r="H11" s="29">
        <f>G11*C11</f>
        <v>630.7</v>
      </c>
      <c r="I11" s="110">
        <f>H11/$H$8</f>
        <v>0.008715016252610596</v>
      </c>
      <c r="J11" s="96" t="s">
        <v>33</v>
      </c>
      <c r="K11" s="84">
        <v>92000</v>
      </c>
    </row>
    <row r="12" spans="1:11" s="11" customFormat="1" ht="12" customHeight="1">
      <c r="A12" s="109" t="s">
        <v>64</v>
      </c>
      <c r="B12" s="30" t="s">
        <v>134</v>
      </c>
      <c r="C12" s="49">
        <v>2</v>
      </c>
      <c r="D12" s="89" t="s">
        <v>14</v>
      </c>
      <c r="E12" s="53">
        <f>G12*0.15</f>
        <v>3.1305</v>
      </c>
      <c r="F12" s="53">
        <f>G12*0.85</f>
        <v>17.7395</v>
      </c>
      <c r="G12" s="29">
        <v>20.87</v>
      </c>
      <c r="H12" s="29">
        <f>G12*C12</f>
        <v>41.74</v>
      </c>
      <c r="I12" s="110">
        <f>H12/$H$8</f>
        <v>0.0005767635617313561</v>
      </c>
      <c r="J12" s="96" t="s">
        <v>33</v>
      </c>
      <c r="K12" s="84">
        <v>91996</v>
      </c>
    </row>
    <row r="13" spans="1:11" s="11" customFormat="1" ht="11.25">
      <c r="A13" s="109" t="s">
        <v>65</v>
      </c>
      <c r="B13" s="30" t="s">
        <v>95</v>
      </c>
      <c r="C13" s="234">
        <v>13</v>
      </c>
      <c r="D13" s="89" t="s">
        <v>14</v>
      </c>
      <c r="E13" s="53">
        <f>G13*0.15</f>
        <v>4.0245</v>
      </c>
      <c r="F13" s="53">
        <f>G13*0.85</f>
        <v>22.8055</v>
      </c>
      <c r="G13" s="29">
        <v>26.83</v>
      </c>
      <c r="H13" s="29">
        <f>G13*C13</f>
        <v>348.78999999999996</v>
      </c>
      <c r="I13" s="110">
        <f>H13/$H$8</f>
        <v>0.004819582239968367</v>
      </c>
      <c r="J13" s="96" t="s">
        <v>33</v>
      </c>
      <c r="K13" s="84">
        <v>91992</v>
      </c>
    </row>
    <row r="14" spans="1:11" s="11" customFormat="1" ht="11.25">
      <c r="A14" s="111">
        <v>2</v>
      </c>
      <c r="B14" s="25" t="s">
        <v>32</v>
      </c>
      <c r="C14" s="50"/>
      <c r="D14" s="24"/>
      <c r="E14" s="23"/>
      <c r="F14" s="23"/>
      <c r="G14" s="22"/>
      <c r="H14" s="22"/>
      <c r="I14" s="112"/>
      <c r="J14" s="98"/>
      <c r="K14" s="99"/>
    </row>
    <row r="15" spans="1:11" s="11" customFormat="1" ht="23.25" customHeight="1">
      <c r="A15" s="109" t="s">
        <v>39</v>
      </c>
      <c r="B15" s="85" t="s">
        <v>164</v>
      </c>
      <c r="C15" s="49">
        <v>2</v>
      </c>
      <c r="D15" s="89" t="s">
        <v>14</v>
      </c>
      <c r="E15" s="53">
        <f aca="true" t="shared" si="0" ref="E15:E22">G15*0.15</f>
        <v>25.1835</v>
      </c>
      <c r="F15" s="53">
        <f aca="true" t="shared" si="1" ref="F15:F22">G15*0.85</f>
        <v>142.70649999999998</v>
      </c>
      <c r="G15" s="29">
        <v>167.89</v>
      </c>
      <c r="H15" s="29">
        <f aca="true" t="shared" si="2" ref="H15:H22">G15*C15</f>
        <v>335.78</v>
      </c>
      <c r="I15" s="110">
        <f aca="true" t="shared" si="3" ref="I15:I22">H15/$H$8</f>
        <v>0.004639809984622777</v>
      </c>
      <c r="J15" s="100" t="s">
        <v>33</v>
      </c>
      <c r="K15" s="73" t="s">
        <v>167</v>
      </c>
    </row>
    <row r="16" spans="1:11" s="11" customFormat="1" ht="23.25" customHeight="1">
      <c r="A16" s="109" t="s">
        <v>109</v>
      </c>
      <c r="B16" s="85" t="s">
        <v>253</v>
      </c>
      <c r="C16" s="49">
        <v>1</v>
      </c>
      <c r="D16" s="89" t="s">
        <v>14</v>
      </c>
      <c r="E16" s="53">
        <f t="shared" si="0"/>
        <v>40.3935</v>
      </c>
      <c r="F16" s="53">
        <f t="shared" si="1"/>
        <v>228.8965</v>
      </c>
      <c r="G16" s="29">
        <v>269.29</v>
      </c>
      <c r="H16" s="29">
        <f t="shared" si="2"/>
        <v>269.29</v>
      </c>
      <c r="I16" s="110">
        <f t="shared" si="3"/>
        <v>0.003721050779555268</v>
      </c>
      <c r="J16" s="100" t="s">
        <v>33</v>
      </c>
      <c r="K16" s="73" t="s">
        <v>254</v>
      </c>
    </row>
    <row r="17" spans="1:11" s="11" customFormat="1" ht="23.25" customHeight="1">
      <c r="A17" s="109" t="s">
        <v>138</v>
      </c>
      <c r="B17" s="85" t="s">
        <v>255</v>
      </c>
      <c r="C17" s="49">
        <v>1</v>
      </c>
      <c r="D17" s="89" t="s">
        <v>14</v>
      </c>
      <c r="E17" s="53">
        <f t="shared" si="0"/>
        <v>57.552</v>
      </c>
      <c r="F17" s="53">
        <f t="shared" si="1"/>
        <v>326.128</v>
      </c>
      <c r="G17" s="29">
        <v>383.68</v>
      </c>
      <c r="H17" s="29">
        <f t="shared" si="2"/>
        <v>383.68</v>
      </c>
      <c r="I17" s="110">
        <f t="shared" si="3"/>
        <v>0.00530169246202891</v>
      </c>
      <c r="J17" s="100" t="s">
        <v>33</v>
      </c>
      <c r="K17" s="73" t="s">
        <v>166</v>
      </c>
    </row>
    <row r="18" spans="1:11" s="11" customFormat="1" ht="45">
      <c r="A18" s="109" t="s">
        <v>40</v>
      </c>
      <c r="B18" s="267" t="s">
        <v>168</v>
      </c>
      <c r="C18" s="234">
        <v>4</v>
      </c>
      <c r="D18" s="235" t="s">
        <v>14</v>
      </c>
      <c r="E18" s="236">
        <f t="shared" si="0"/>
        <v>555</v>
      </c>
      <c r="F18" s="236">
        <f t="shared" si="1"/>
        <v>3145</v>
      </c>
      <c r="G18" s="19">
        <v>3700</v>
      </c>
      <c r="H18" s="19">
        <f t="shared" si="2"/>
        <v>14800</v>
      </c>
      <c r="I18" s="110">
        <f t="shared" si="3"/>
        <v>0.20450648571212435</v>
      </c>
      <c r="J18" s="100" t="s">
        <v>66</v>
      </c>
      <c r="K18" s="73"/>
    </row>
    <row r="19" spans="1:11" s="11" customFormat="1" ht="11.25">
      <c r="A19" s="109" t="s">
        <v>41</v>
      </c>
      <c r="B19" s="26" t="s">
        <v>72</v>
      </c>
      <c r="C19" s="234">
        <v>100</v>
      </c>
      <c r="D19" s="237" t="s">
        <v>14</v>
      </c>
      <c r="E19" s="236">
        <f t="shared" si="0"/>
        <v>2.2965</v>
      </c>
      <c r="F19" s="236">
        <f t="shared" si="1"/>
        <v>13.0135</v>
      </c>
      <c r="G19" s="29">
        <v>15.31</v>
      </c>
      <c r="H19" s="29">
        <f t="shared" si="2"/>
        <v>1531</v>
      </c>
      <c r="I19" s="110">
        <f t="shared" si="3"/>
        <v>0.02115536686657178</v>
      </c>
      <c r="J19" s="100" t="s">
        <v>33</v>
      </c>
      <c r="K19" s="238" t="s">
        <v>73</v>
      </c>
    </row>
    <row r="20" spans="1:11" s="11" customFormat="1" ht="11.25">
      <c r="A20" s="109" t="s">
        <v>110</v>
      </c>
      <c r="B20" s="26" t="s">
        <v>75</v>
      </c>
      <c r="C20" s="234">
        <v>70</v>
      </c>
      <c r="D20" s="237" t="s">
        <v>14</v>
      </c>
      <c r="E20" s="236">
        <f t="shared" si="0"/>
        <v>1.65</v>
      </c>
      <c r="F20" s="236">
        <f t="shared" si="1"/>
        <v>9.35</v>
      </c>
      <c r="G20" s="19">
        <v>11</v>
      </c>
      <c r="H20" s="29">
        <f t="shared" si="2"/>
        <v>770</v>
      </c>
      <c r="I20" s="110">
        <f t="shared" si="3"/>
        <v>0.01063986445934701</v>
      </c>
      <c r="J20" s="100" t="s">
        <v>33</v>
      </c>
      <c r="K20" s="238" t="s">
        <v>80</v>
      </c>
    </row>
    <row r="21" spans="1:11" s="11" customFormat="1" ht="11.25">
      <c r="A21" s="109" t="s">
        <v>111</v>
      </c>
      <c r="B21" s="30" t="s">
        <v>83</v>
      </c>
      <c r="C21" s="49">
        <v>211</v>
      </c>
      <c r="D21" s="89" t="s">
        <v>14</v>
      </c>
      <c r="E21" s="53">
        <f t="shared" si="0"/>
        <v>1.2195</v>
      </c>
      <c r="F21" s="53">
        <f t="shared" si="1"/>
        <v>6.910500000000001</v>
      </c>
      <c r="G21" s="29">
        <v>8.13</v>
      </c>
      <c r="H21" s="29">
        <f t="shared" si="2"/>
        <v>1715.43</v>
      </c>
      <c r="I21" s="110">
        <f t="shared" si="3"/>
        <v>0.023703821674672262</v>
      </c>
      <c r="J21" s="100" t="s">
        <v>33</v>
      </c>
      <c r="K21" s="84">
        <v>91936</v>
      </c>
    </row>
    <row r="22" spans="1:11" s="45" customFormat="1" ht="11.25" customHeight="1">
      <c r="A22" s="109" t="s">
        <v>112</v>
      </c>
      <c r="B22" s="123" t="s">
        <v>104</v>
      </c>
      <c r="C22" s="41">
        <v>6</v>
      </c>
      <c r="D22" s="46" t="s">
        <v>14</v>
      </c>
      <c r="E22" s="53">
        <f t="shared" si="0"/>
        <v>1.419</v>
      </c>
      <c r="F22" s="53">
        <f t="shared" si="1"/>
        <v>8.041</v>
      </c>
      <c r="G22" s="19">
        <v>9.46</v>
      </c>
      <c r="H22" s="29">
        <f t="shared" si="2"/>
        <v>56.760000000000005</v>
      </c>
      <c r="I22" s="110">
        <f t="shared" si="3"/>
        <v>0.0007843100087175797</v>
      </c>
      <c r="J22" s="96" t="s">
        <v>33</v>
      </c>
      <c r="K22" s="74">
        <v>91940</v>
      </c>
    </row>
    <row r="23" spans="1:11" s="11" customFormat="1" ht="12.75" customHeight="1">
      <c r="A23" s="111">
        <v>3</v>
      </c>
      <c r="B23" s="25" t="s">
        <v>16</v>
      </c>
      <c r="C23" s="50"/>
      <c r="D23" s="24"/>
      <c r="E23" s="23"/>
      <c r="F23" s="23"/>
      <c r="G23" s="22"/>
      <c r="H23" s="22"/>
      <c r="I23" s="112"/>
      <c r="J23" s="98"/>
      <c r="K23" s="99"/>
    </row>
    <row r="24" spans="1:11" s="11" customFormat="1" ht="22.5">
      <c r="A24" s="109" t="s">
        <v>42</v>
      </c>
      <c r="B24" s="26" t="s">
        <v>84</v>
      </c>
      <c r="C24" s="234">
        <v>500</v>
      </c>
      <c r="D24" s="20" t="s">
        <v>1</v>
      </c>
      <c r="E24" s="19">
        <f>G24*0.15</f>
        <v>0.591</v>
      </c>
      <c r="F24" s="239">
        <f>G24*0.85</f>
        <v>3.3489999999999998</v>
      </c>
      <c r="G24" s="19">
        <v>3.94</v>
      </c>
      <c r="H24" s="19">
        <f aca="true" t="shared" si="4" ref="H24:H33">G24*C24</f>
        <v>1970</v>
      </c>
      <c r="I24" s="113">
        <f aca="true" t="shared" si="5" ref="I24:I33">H24/$H$8</f>
        <v>0.027221471408978713</v>
      </c>
      <c r="J24" s="240" t="s">
        <v>33</v>
      </c>
      <c r="K24" s="87">
        <v>91834</v>
      </c>
    </row>
    <row r="25" spans="1:11" s="11" customFormat="1" ht="22.5">
      <c r="A25" s="109" t="s">
        <v>43</v>
      </c>
      <c r="B25" s="26" t="s">
        <v>85</v>
      </c>
      <c r="C25" s="234">
        <v>1000</v>
      </c>
      <c r="D25" s="20" t="s">
        <v>1</v>
      </c>
      <c r="E25" s="19">
        <f>G25*0.15</f>
        <v>1.1055</v>
      </c>
      <c r="F25" s="239">
        <f>G25*0.85</f>
        <v>6.2645</v>
      </c>
      <c r="G25" s="19">
        <v>7.37</v>
      </c>
      <c r="H25" s="19">
        <f t="shared" si="4"/>
        <v>7370</v>
      </c>
      <c r="I25" s="113">
        <f t="shared" si="5"/>
        <v>0.10183870268232138</v>
      </c>
      <c r="J25" s="240" t="s">
        <v>33</v>
      </c>
      <c r="K25" s="87">
        <v>91871</v>
      </c>
    </row>
    <row r="26" spans="1:11" s="11" customFormat="1" ht="12" customHeight="1">
      <c r="A26" s="109" t="s">
        <v>107</v>
      </c>
      <c r="B26" s="43" t="s">
        <v>160</v>
      </c>
      <c r="C26" s="122">
        <v>80</v>
      </c>
      <c r="D26" s="40" t="s">
        <v>1</v>
      </c>
      <c r="E26" s="19">
        <v>22.55</v>
      </c>
      <c r="F26" s="239">
        <v>16.99</v>
      </c>
      <c r="G26" s="19">
        <f>E26+F26</f>
        <v>39.54</v>
      </c>
      <c r="H26" s="19">
        <f t="shared" si="4"/>
        <v>3163.2</v>
      </c>
      <c r="I26" s="113">
        <f t="shared" si="5"/>
        <v>0.04370911591922917</v>
      </c>
      <c r="J26" s="96" t="s">
        <v>67</v>
      </c>
      <c r="K26" s="72">
        <v>71207</v>
      </c>
    </row>
    <row r="27" spans="1:11" s="11" customFormat="1" ht="12" customHeight="1">
      <c r="A27" s="109" t="s">
        <v>44</v>
      </c>
      <c r="B27" s="43" t="s">
        <v>116</v>
      </c>
      <c r="C27" s="44">
        <v>45</v>
      </c>
      <c r="D27" s="40" t="s">
        <v>68</v>
      </c>
      <c r="E27" s="19">
        <v>23.85</v>
      </c>
      <c r="F27" s="19">
        <v>79.45</v>
      </c>
      <c r="G27" s="19">
        <f>E27+F27</f>
        <v>103.30000000000001</v>
      </c>
      <c r="H27" s="19">
        <f t="shared" si="4"/>
        <v>4648.500000000001</v>
      </c>
      <c r="I27" s="113">
        <f t="shared" si="5"/>
        <v>0.06423299992113582</v>
      </c>
      <c r="J27" s="310" t="s">
        <v>66</v>
      </c>
      <c r="K27" s="311"/>
    </row>
    <row r="28" spans="1:11" s="11" customFormat="1" ht="11.25">
      <c r="A28" s="109" t="s">
        <v>108</v>
      </c>
      <c r="B28" s="26" t="s">
        <v>118</v>
      </c>
      <c r="C28" s="234">
        <v>2</v>
      </c>
      <c r="D28" s="235" t="s">
        <v>14</v>
      </c>
      <c r="E28" s="236">
        <v>4.7</v>
      </c>
      <c r="F28" s="236">
        <v>14.7</v>
      </c>
      <c r="G28" s="19">
        <v>20.91</v>
      </c>
      <c r="H28" s="19">
        <f t="shared" si="4"/>
        <v>41.82</v>
      </c>
      <c r="I28" s="113">
        <f t="shared" si="5"/>
        <v>0.0005778690021946649</v>
      </c>
      <c r="J28" s="310" t="s">
        <v>66</v>
      </c>
      <c r="K28" s="311"/>
    </row>
    <row r="29" spans="1:11" s="11" customFormat="1" ht="11.25">
      <c r="A29" s="109" t="s">
        <v>125</v>
      </c>
      <c r="B29" s="26" t="s">
        <v>120</v>
      </c>
      <c r="C29" s="234">
        <v>2</v>
      </c>
      <c r="D29" s="235" t="s">
        <v>14</v>
      </c>
      <c r="E29" s="239">
        <v>4.7</v>
      </c>
      <c r="F29" s="239">
        <v>15.62</v>
      </c>
      <c r="G29" s="19">
        <f>E29+F29</f>
        <v>20.32</v>
      </c>
      <c r="H29" s="19">
        <f t="shared" si="4"/>
        <v>40.64</v>
      </c>
      <c r="I29" s="113">
        <f t="shared" si="5"/>
        <v>0.0005615637553608604</v>
      </c>
      <c r="J29" s="310" t="s">
        <v>66</v>
      </c>
      <c r="K29" s="311"/>
    </row>
    <row r="30" spans="1:11" s="243" customFormat="1" ht="12.75">
      <c r="A30" s="109" t="s">
        <v>126</v>
      </c>
      <c r="B30" s="241" t="s">
        <v>256</v>
      </c>
      <c r="C30" s="54">
        <v>10</v>
      </c>
      <c r="D30" s="40" t="s">
        <v>68</v>
      </c>
      <c r="E30" s="19">
        <v>7.94</v>
      </c>
      <c r="F30" s="19">
        <v>46.46</v>
      </c>
      <c r="G30" s="19">
        <f>E30+F30</f>
        <v>54.4</v>
      </c>
      <c r="H30" s="242">
        <f>SUM(G30*C30)</f>
        <v>544</v>
      </c>
      <c r="I30" s="113">
        <f t="shared" si="5"/>
        <v>0.007516995150499706</v>
      </c>
      <c r="J30" s="310" t="s">
        <v>66</v>
      </c>
      <c r="K30" s="311"/>
    </row>
    <row r="31" spans="1:11" s="243" customFormat="1" ht="12.75">
      <c r="A31" s="109" t="s">
        <v>117</v>
      </c>
      <c r="B31" s="241" t="s">
        <v>257</v>
      </c>
      <c r="C31" s="54">
        <v>7</v>
      </c>
      <c r="D31" s="244" t="s">
        <v>14</v>
      </c>
      <c r="E31" s="19">
        <v>0.85</v>
      </c>
      <c r="F31" s="19">
        <v>4.47</v>
      </c>
      <c r="G31" s="19">
        <v>4.47</v>
      </c>
      <c r="H31" s="242">
        <f>SUM(G31*C31)</f>
        <v>31.29</v>
      </c>
      <c r="I31" s="113">
        <f t="shared" si="5"/>
        <v>0.0004323654012116467</v>
      </c>
      <c r="J31" s="310" t="s">
        <v>66</v>
      </c>
      <c r="K31" s="311"/>
    </row>
    <row r="32" spans="1:11" s="243" customFormat="1" ht="12.75">
      <c r="A32" s="109" t="s">
        <v>119</v>
      </c>
      <c r="B32" s="241" t="s">
        <v>259</v>
      </c>
      <c r="C32" s="54">
        <v>2</v>
      </c>
      <c r="D32" s="244" t="s">
        <v>14</v>
      </c>
      <c r="E32" s="19">
        <v>0.85</v>
      </c>
      <c r="F32" s="19">
        <v>2.35</v>
      </c>
      <c r="G32" s="19">
        <f>E32+F32</f>
        <v>3.2</v>
      </c>
      <c r="H32" s="242">
        <f>SUM(G32*C32)</f>
        <v>6.4</v>
      </c>
      <c r="I32" s="113">
        <f t="shared" si="5"/>
        <v>8.843523706470243E-05</v>
      </c>
      <c r="J32" s="310" t="s">
        <v>66</v>
      </c>
      <c r="K32" s="311"/>
    </row>
    <row r="33" spans="1:11" s="11" customFormat="1" ht="11.25">
      <c r="A33" s="109" t="s">
        <v>258</v>
      </c>
      <c r="B33" s="26" t="s">
        <v>127</v>
      </c>
      <c r="C33" s="19">
        <v>80</v>
      </c>
      <c r="D33" s="20" t="s">
        <v>14</v>
      </c>
      <c r="E33" s="19">
        <v>0.54</v>
      </c>
      <c r="F33" s="19">
        <v>1.84</v>
      </c>
      <c r="G33" s="19">
        <f>F33+E33</f>
        <v>2.38</v>
      </c>
      <c r="H33" s="19">
        <f t="shared" si="4"/>
        <v>190.39999999999998</v>
      </c>
      <c r="I33" s="113">
        <f t="shared" si="5"/>
        <v>0.0026309483026748966</v>
      </c>
      <c r="J33" s="310" t="s">
        <v>66</v>
      </c>
      <c r="K33" s="311"/>
    </row>
    <row r="34" spans="1:11" s="11" customFormat="1" ht="11.25" customHeight="1">
      <c r="A34" s="111">
        <v>4</v>
      </c>
      <c r="B34" s="25" t="s">
        <v>24</v>
      </c>
      <c r="C34" s="52"/>
      <c r="D34" s="93"/>
      <c r="E34" s="52"/>
      <c r="F34" s="52"/>
      <c r="G34" s="52"/>
      <c r="H34" s="52"/>
      <c r="I34" s="114"/>
      <c r="J34" s="98"/>
      <c r="K34" s="99"/>
    </row>
    <row r="35" spans="1:11" s="11" customFormat="1" ht="11.25" customHeight="1">
      <c r="A35" s="109" t="s">
        <v>45</v>
      </c>
      <c r="B35" s="26" t="s">
        <v>139</v>
      </c>
      <c r="C35" s="49">
        <v>44</v>
      </c>
      <c r="D35" s="20" t="s">
        <v>14</v>
      </c>
      <c r="E35" s="19">
        <f>G35*0.15</f>
        <v>1.809</v>
      </c>
      <c r="F35" s="239">
        <f>G35*0.85</f>
        <v>10.251</v>
      </c>
      <c r="G35" s="19">
        <v>12.06</v>
      </c>
      <c r="H35" s="19">
        <f>G35*C35</f>
        <v>530.64</v>
      </c>
      <c r="I35" s="113">
        <f aca="true" t="shared" si="6" ref="I35:I40">H35/$H$8</f>
        <v>0.007332386593127139</v>
      </c>
      <c r="J35" s="96" t="s">
        <v>33</v>
      </c>
      <c r="K35" s="17" t="s">
        <v>69</v>
      </c>
    </row>
    <row r="36" spans="1:11" s="11" customFormat="1" ht="11.25" customHeight="1">
      <c r="A36" s="109" t="s">
        <v>46</v>
      </c>
      <c r="B36" s="31" t="s">
        <v>141</v>
      </c>
      <c r="C36" s="49">
        <v>5</v>
      </c>
      <c r="D36" s="20" t="s">
        <v>14</v>
      </c>
      <c r="E36" s="19">
        <f>G36*0.15</f>
        <v>11.922</v>
      </c>
      <c r="F36" s="239">
        <f>G36*0.85</f>
        <v>67.558</v>
      </c>
      <c r="G36" s="19">
        <v>79.48</v>
      </c>
      <c r="H36" s="19">
        <f>G36*C36</f>
        <v>397.40000000000003</v>
      </c>
      <c r="I36" s="113">
        <f t="shared" si="6"/>
        <v>0.005491275501486367</v>
      </c>
      <c r="J36" s="96" t="s">
        <v>33</v>
      </c>
      <c r="K36" s="17" t="s">
        <v>31</v>
      </c>
    </row>
    <row r="37" spans="1:11" s="11" customFormat="1" ht="11.25" customHeight="1">
      <c r="A37" s="109" t="s">
        <v>47</v>
      </c>
      <c r="B37" s="31" t="s">
        <v>144</v>
      </c>
      <c r="C37" s="49">
        <v>1</v>
      </c>
      <c r="D37" s="20" t="s">
        <v>14</v>
      </c>
      <c r="E37" s="19">
        <f>G37*0.15</f>
        <v>16.0185</v>
      </c>
      <c r="F37" s="239">
        <f>G37*0.85</f>
        <v>90.7715</v>
      </c>
      <c r="G37" s="19">
        <v>106.79</v>
      </c>
      <c r="H37" s="19">
        <f>G37*C37</f>
        <v>106.79</v>
      </c>
      <c r="I37" s="113">
        <f t="shared" si="6"/>
        <v>0.001475624838459308</v>
      </c>
      <c r="J37" s="96" t="s">
        <v>33</v>
      </c>
      <c r="K37" s="17" t="s">
        <v>147</v>
      </c>
    </row>
    <row r="38" spans="1:11" s="11" customFormat="1" ht="11.25" customHeight="1">
      <c r="A38" s="109" t="s">
        <v>48</v>
      </c>
      <c r="B38" s="31" t="s">
        <v>145</v>
      </c>
      <c r="C38" s="49">
        <v>1</v>
      </c>
      <c r="D38" s="20" t="s">
        <v>14</v>
      </c>
      <c r="E38" s="3">
        <f>G38*0.15</f>
        <v>16.0185</v>
      </c>
      <c r="F38" s="94">
        <f>G38*0.85</f>
        <v>90.7715</v>
      </c>
      <c r="G38" s="19">
        <v>106.79</v>
      </c>
      <c r="H38" s="19">
        <v>100.35</v>
      </c>
      <c r="I38" s="113">
        <f t="shared" si="6"/>
        <v>0.001386636881162951</v>
      </c>
      <c r="J38" s="96" t="s">
        <v>33</v>
      </c>
      <c r="K38" s="17" t="s">
        <v>147</v>
      </c>
    </row>
    <row r="39" spans="1:11" s="11" customFormat="1" ht="11.25" customHeight="1">
      <c r="A39" s="109" t="s">
        <v>49</v>
      </c>
      <c r="B39" s="31" t="s">
        <v>261</v>
      </c>
      <c r="C39" s="49">
        <v>1</v>
      </c>
      <c r="D39" s="20" t="s">
        <v>14</v>
      </c>
      <c r="E39" s="19">
        <f>G39*0.15</f>
        <v>46.047000000000004</v>
      </c>
      <c r="F39" s="239">
        <f>G39*0.85</f>
        <v>260.933</v>
      </c>
      <c r="G39" s="19">
        <v>306.98</v>
      </c>
      <c r="H39" s="19">
        <f>G39*C39</f>
        <v>306.98</v>
      </c>
      <c r="I39" s="113">
        <f t="shared" si="6"/>
        <v>0.004241851417831617</v>
      </c>
      <c r="J39" s="96" t="s">
        <v>33</v>
      </c>
      <c r="K39" s="17" t="s">
        <v>170</v>
      </c>
    </row>
    <row r="40" spans="1:11" s="11" customFormat="1" ht="12" customHeight="1">
      <c r="A40" s="109" t="s">
        <v>105</v>
      </c>
      <c r="B40" s="31" t="s">
        <v>70</v>
      </c>
      <c r="C40" s="19">
        <v>2</v>
      </c>
      <c r="D40" s="20" t="s">
        <v>14</v>
      </c>
      <c r="E40" s="19">
        <v>28.19</v>
      </c>
      <c r="F40" s="19">
        <v>104.08</v>
      </c>
      <c r="G40" s="19">
        <f>F40+E40</f>
        <v>132.27</v>
      </c>
      <c r="H40" s="19">
        <f>G40*C40</f>
        <v>264.54</v>
      </c>
      <c r="I40" s="113">
        <f t="shared" si="6"/>
        <v>0.0036554152520463096</v>
      </c>
      <c r="J40" s="96" t="s">
        <v>67</v>
      </c>
      <c r="K40" s="87">
        <v>71455</v>
      </c>
    </row>
    <row r="41" spans="1:11" s="11" customFormat="1" ht="11.25">
      <c r="A41" s="111">
        <v>5</v>
      </c>
      <c r="B41" s="25" t="s">
        <v>19</v>
      </c>
      <c r="C41" s="50"/>
      <c r="D41" s="24"/>
      <c r="E41" s="23"/>
      <c r="F41" s="23"/>
      <c r="G41" s="22"/>
      <c r="H41" s="22"/>
      <c r="I41" s="115"/>
      <c r="J41" s="98"/>
      <c r="K41" s="99"/>
    </row>
    <row r="42" spans="1:11" s="11" customFormat="1" ht="22.5">
      <c r="A42" s="109" t="s">
        <v>50</v>
      </c>
      <c r="B42" s="30" t="s">
        <v>86</v>
      </c>
      <c r="C42" s="49">
        <v>2500</v>
      </c>
      <c r="D42" s="89" t="s">
        <v>1</v>
      </c>
      <c r="E42" s="19">
        <f aca="true" t="shared" si="7" ref="E42:E51">G42*0.15</f>
        <v>0.4065</v>
      </c>
      <c r="F42" s="239">
        <f aca="true" t="shared" si="8" ref="F42:F51">G42*0.85</f>
        <v>2.3035</v>
      </c>
      <c r="G42" s="29">
        <v>2.71</v>
      </c>
      <c r="H42" s="29">
        <f aca="true" t="shared" si="9" ref="H42:H51">G42*C42</f>
        <v>6775</v>
      </c>
      <c r="I42" s="110">
        <f aca="true" t="shared" si="10" ref="I42:I51">H42/$H$8</f>
        <v>0.09361698923646233</v>
      </c>
      <c r="J42" s="96" t="s">
        <v>33</v>
      </c>
      <c r="K42" s="84">
        <v>91926</v>
      </c>
    </row>
    <row r="43" spans="1:11" s="11" customFormat="1" ht="22.5">
      <c r="A43" s="109" t="s">
        <v>51</v>
      </c>
      <c r="B43" s="30" t="s">
        <v>87</v>
      </c>
      <c r="C43" s="49">
        <v>2500</v>
      </c>
      <c r="D43" s="89" t="s">
        <v>1</v>
      </c>
      <c r="E43" s="19">
        <f t="shared" si="7"/>
        <v>0.4065</v>
      </c>
      <c r="F43" s="239">
        <f t="shared" si="8"/>
        <v>2.3035</v>
      </c>
      <c r="G43" s="29">
        <v>2.71</v>
      </c>
      <c r="H43" s="29">
        <f t="shared" si="9"/>
        <v>6775</v>
      </c>
      <c r="I43" s="110">
        <f t="shared" si="10"/>
        <v>0.09361698923646233</v>
      </c>
      <c r="J43" s="96" t="s">
        <v>33</v>
      </c>
      <c r="K43" s="84">
        <v>91926</v>
      </c>
    </row>
    <row r="44" spans="1:11" s="11" customFormat="1" ht="22.5">
      <c r="A44" s="109" t="s">
        <v>52</v>
      </c>
      <c r="B44" s="30" t="s">
        <v>88</v>
      </c>
      <c r="C44" s="49">
        <v>2500</v>
      </c>
      <c r="D44" s="20" t="s">
        <v>1</v>
      </c>
      <c r="E44" s="19">
        <f t="shared" si="7"/>
        <v>0.4065</v>
      </c>
      <c r="F44" s="239">
        <f t="shared" si="8"/>
        <v>2.3035</v>
      </c>
      <c r="G44" s="29">
        <v>2.71</v>
      </c>
      <c r="H44" s="29">
        <f t="shared" si="9"/>
        <v>6775</v>
      </c>
      <c r="I44" s="110">
        <f t="shared" si="10"/>
        <v>0.09361698923646233</v>
      </c>
      <c r="J44" s="96" t="s">
        <v>33</v>
      </c>
      <c r="K44" s="84">
        <v>91926</v>
      </c>
    </row>
    <row r="45" spans="1:11" s="11" customFormat="1" ht="22.5">
      <c r="A45" s="109" t="s">
        <v>53</v>
      </c>
      <c r="B45" s="30" t="s">
        <v>89</v>
      </c>
      <c r="C45" s="49">
        <v>1000</v>
      </c>
      <c r="D45" s="89" t="s">
        <v>1</v>
      </c>
      <c r="E45" s="19">
        <f t="shared" si="7"/>
        <v>0.4065</v>
      </c>
      <c r="F45" s="239">
        <f t="shared" si="8"/>
        <v>2.3035</v>
      </c>
      <c r="G45" s="29">
        <v>2.71</v>
      </c>
      <c r="H45" s="29">
        <f t="shared" si="9"/>
        <v>2710</v>
      </c>
      <c r="I45" s="110">
        <f t="shared" si="10"/>
        <v>0.03744679569458493</v>
      </c>
      <c r="J45" s="96" t="s">
        <v>33</v>
      </c>
      <c r="K45" s="84">
        <v>91926</v>
      </c>
    </row>
    <row r="46" spans="1:11" s="11" customFormat="1" ht="22.5">
      <c r="A46" s="109" t="s">
        <v>54</v>
      </c>
      <c r="B46" s="43" t="s">
        <v>90</v>
      </c>
      <c r="C46" s="54">
        <v>150</v>
      </c>
      <c r="D46" s="40" t="s">
        <v>1</v>
      </c>
      <c r="E46" s="19">
        <f t="shared" si="7"/>
        <v>0.9464999999999999</v>
      </c>
      <c r="F46" s="239">
        <f t="shared" si="8"/>
        <v>5.363499999999999</v>
      </c>
      <c r="G46" s="19">
        <v>6.31</v>
      </c>
      <c r="H46" s="19">
        <f t="shared" si="9"/>
        <v>946.4999999999999</v>
      </c>
      <c r="I46" s="113">
        <f t="shared" si="10"/>
        <v>0.013078742481522005</v>
      </c>
      <c r="J46" s="96" t="s">
        <v>33</v>
      </c>
      <c r="K46" s="72">
        <v>91931</v>
      </c>
    </row>
    <row r="47" spans="1:11" s="11" customFormat="1" ht="22.5">
      <c r="A47" s="109" t="s">
        <v>55</v>
      </c>
      <c r="B47" s="43" t="s">
        <v>91</v>
      </c>
      <c r="C47" s="54">
        <v>150</v>
      </c>
      <c r="D47" s="40" t="s">
        <v>1</v>
      </c>
      <c r="E47" s="19">
        <f t="shared" si="7"/>
        <v>0.9464999999999999</v>
      </c>
      <c r="F47" s="239">
        <f t="shared" si="8"/>
        <v>5.363499999999999</v>
      </c>
      <c r="G47" s="19">
        <v>6.31</v>
      </c>
      <c r="H47" s="19">
        <f t="shared" si="9"/>
        <v>946.4999999999999</v>
      </c>
      <c r="I47" s="113">
        <f t="shared" si="10"/>
        <v>0.013078742481522005</v>
      </c>
      <c r="J47" s="96" t="s">
        <v>33</v>
      </c>
      <c r="K47" s="72">
        <v>91931</v>
      </c>
    </row>
    <row r="48" spans="1:11" s="11" customFormat="1" ht="22.5">
      <c r="A48" s="109" t="s">
        <v>56</v>
      </c>
      <c r="B48" s="43" t="s">
        <v>92</v>
      </c>
      <c r="C48" s="54">
        <v>450</v>
      </c>
      <c r="D48" s="40" t="s">
        <v>1</v>
      </c>
      <c r="E48" s="19">
        <f t="shared" si="7"/>
        <v>0.9464999999999999</v>
      </c>
      <c r="F48" s="239">
        <f t="shared" si="8"/>
        <v>5.363499999999999</v>
      </c>
      <c r="G48" s="19">
        <v>6.31</v>
      </c>
      <c r="H48" s="19">
        <f t="shared" si="9"/>
        <v>2839.5</v>
      </c>
      <c r="I48" s="113">
        <f t="shared" si="10"/>
        <v>0.03923622744456602</v>
      </c>
      <c r="J48" s="96" t="s">
        <v>33</v>
      </c>
      <c r="K48" s="72">
        <v>91931</v>
      </c>
    </row>
    <row r="49" spans="1:11" s="11" customFormat="1" ht="22.5">
      <c r="A49" s="109" t="s">
        <v>57</v>
      </c>
      <c r="B49" s="43" t="s">
        <v>153</v>
      </c>
      <c r="C49" s="54">
        <v>15</v>
      </c>
      <c r="D49" s="40" t="s">
        <v>1</v>
      </c>
      <c r="E49" s="19">
        <f t="shared" si="7"/>
        <v>1.449</v>
      </c>
      <c r="F49" s="239">
        <f t="shared" si="8"/>
        <v>8.211</v>
      </c>
      <c r="G49" s="19">
        <v>9.66</v>
      </c>
      <c r="H49" s="19">
        <f t="shared" si="9"/>
        <v>144.9</v>
      </c>
      <c r="I49" s="113">
        <f t="shared" si="10"/>
        <v>0.002002229039168028</v>
      </c>
      <c r="J49" s="96" t="s">
        <v>33</v>
      </c>
      <c r="K49" s="72">
        <v>92982</v>
      </c>
    </row>
    <row r="50" spans="1:11" s="11" customFormat="1" ht="22.5">
      <c r="A50" s="109" t="s">
        <v>58</v>
      </c>
      <c r="B50" s="43" t="s">
        <v>155</v>
      </c>
      <c r="C50" s="54">
        <v>15</v>
      </c>
      <c r="D50" s="40" t="s">
        <v>1</v>
      </c>
      <c r="E50" s="19">
        <f t="shared" si="7"/>
        <v>1.449</v>
      </c>
      <c r="F50" s="239">
        <f t="shared" si="8"/>
        <v>8.211</v>
      </c>
      <c r="G50" s="19">
        <v>9.66</v>
      </c>
      <c r="H50" s="19">
        <f t="shared" si="9"/>
        <v>144.9</v>
      </c>
      <c r="I50" s="113">
        <f t="shared" si="10"/>
        <v>0.002002229039168028</v>
      </c>
      <c r="J50" s="96" t="s">
        <v>33</v>
      </c>
      <c r="K50" s="72">
        <v>92982</v>
      </c>
    </row>
    <row r="51" spans="1:11" s="11" customFormat="1" ht="22.5">
      <c r="A51" s="109" t="s">
        <v>27</v>
      </c>
      <c r="B51" s="43" t="s">
        <v>154</v>
      </c>
      <c r="C51" s="54">
        <v>45</v>
      </c>
      <c r="D51" s="40" t="s">
        <v>1</v>
      </c>
      <c r="E51" s="19">
        <f t="shared" si="7"/>
        <v>1.449</v>
      </c>
      <c r="F51" s="239">
        <f t="shared" si="8"/>
        <v>8.211</v>
      </c>
      <c r="G51" s="19">
        <v>9.66</v>
      </c>
      <c r="H51" s="19">
        <f t="shared" si="9"/>
        <v>434.7</v>
      </c>
      <c r="I51" s="113">
        <f t="shared" si="10"/>
        <v>0.006006687117504085</v>
      </c>
      <c r="J51" s="96" t="s">
        <v>33</v>
      </c>
      <c r="K51" s="72">
        <v>92982</v>
      </c>
    </row>
    <row r="52" spans="1:11" s="11" customFormat="1" ht="11.25">
      <c r="A52" s="111">
        <v>6</v>
      </c>
      <c r="B52" s="25" t="s">
        <v>21</v>
      </c>
      <c r="C52" s="50"/>
      <c r="D52" s="28"/>
      <c r="E52" s="27"/>
      <c r="F52" s="27"/>
      <c r="G52" s="22"/>
      <c r="H52" s="22"/>
      <c r="I52" s="112"/>
      <c r="J52" s="98"/>
      <c r="K52" s="99"/>
    </row>
    <row r="53" spans="1:11" s="11" customFormat="1" ht="11.25">
      <c r="A53" s="109" t="s">
        <v>59</v>
      </c>
      <c r="B53" s="88" t="s">
        <v>82</v>
      </c>
      <c r="C53" s="49">
        <v>8</v>
      </c>
      <c r="D53" s="20" t="s">
        <v>14</v>
      </c>
      <c r="E53" s="19">
        <f>G53*0.15</f>
        <v>2.9295</v>
      </c>
      <c r="F53" s="239">
        <f>G53*0.85</f>
        <v>16.6005</v>
      </c>
      <c r="G53" s="19">
        <v>19.53</v>
      </c>
      <c r="H53" s="19">
        <f>G53*C53</f>
        <v>156.24</v>
      </c>
      <c r="I53" s="113">
        <f>H53/$H$8</f>
        <v>0.002158925224842048</v>
      </c>
      <c r="J53" s="96" t="s">
        <v>33</v>
      </c>
      <c r="K53" s="87">
        <v>91953</v>
      </c>
    </row>
    <row r="54" spans="1:11" s="11" customFormat="1" ht="11.25" customHeight="1">
      <c r="A54" s="109" t="s">
        <v>106</v>
      </c>
      <c r="B54" s="88" t="s">
        <v>94</v>
      </c>
      <c r="C54" s="49">
        <v>12</v>
      </c>
      <c r="D54" s="20" t="s">
        <v>14</v>
      </c>
      <c r="E54" s="19">
        <f>G54*0.15</f>
        <v>4.672499999999999</v>
      </c>
      <c r="F54" s="239">
        <f>G54*0.85</f>
        <v>26.4775</v>
      </c>
      <c r="G54" s="19">
        <v>31.15</v>
      </c>
      <c r="H54" s="19">
        <v>29.67</v>
      </c>
      <c r="I54" s="113">
        <f>H54/$H$8</f>
        <v>0.0004099802318296439</v>
      </c>
      <c r="J54" s="96" t="s">
        <v>33</v>
      </c>
      <c r="K54" s="87">
        <v>91959</v>
      </c>
    </row>
    <row r="55" spans="1:11" s="11" customFormat="1" ht="12" customHeight="1">
      <c r="A55" s="109" t="s">
        <v>121</v>
      </c>
      <c r="B55" s="21" t="s">
        <v>128</v>
      </c>
      <c r="C55" s="49">
        <v>2</v>
      </c>
      <c r="D55" s="20" t="s">
        <v>14</v>
      </c>
      <c r="E55" s="19">
        <f>G55*0.15</f>
        <v>3.6914999999999996</v>
      </c>
      <c r="F55" s="239">
        <f>G55*0.85</f>
        <v>20.918499999999998</v>
      </c>
      <c r="G55" s="19">
        <v>24.61</v>
      </c>
      <c r="H55" s="19">
        <f>G55*C55</f>
        <v>49.22</v>
      </c>
      <c r="I55" s="113">
        <f>H55/$H$8</f>
        <v>0.000680122245050727</v>
      </c>
      <c r="J55" s="96" t="s">
        <v>33</v>
      </c>
      <c r="K55" s="87">
        <v>91955</v>
      </c>
    </row>
    <row r="56" spans="1:11" s="11" customFormat="1" ht="11.25">
      <c r="A56" s="111">
        <v>7</v>
      </c>
      <c r="B56" s="25" t="s">
        <v>17</v>
      </c>
      <c r="C56" s="50"/>
      <c r="D56" s="24"/>
      <c r="E56" s="23"/>
      <c r="F56" s="23"/>
      <c r="G56" s="22"/>
      <c r="H56" s="22"/>
      <c r="I56" s="112"/>
      <c r="J56" s="98"/>
      <c r="K56" s="98"/>
    </row>
    <row r="57" spans="1:11" s="11" customFormat="1" ht="45">
      <c r="A57" s="109" t="s">
        <v>60</v>
      </c>
      <c r="B57" s="21" t="s">
        <v>174</v>
      </c>
      <c r="C57" s="234">
        <v>1</v>
      </c>
      <c r="D57" s="20" t="s">
        <v>14</v>
      </c>
      <c r="E57" s="236">
        <f>G57*0.3</f>
        <v>12.564</v>
      </c>
      <c r="F57" s="236">
        <f>0.7*G57</f>
        <v>29.316</v>
      </c>
      <c r="G57" s="19">
        <v>41.88</v>
      </c>
      <c r="H57" s="18">
        <f>G57*C57</f>
        <v>41.88</v>
      </c>
      <c r="I57" s="113">
        <f>H57/$H$8</f>
        <v>0.0005786980825421465</v>
      </c>
      <c r="J57" s="310" t="s">
        <v>66</v>
      </c>
      <c r="K57" s="311"/>
    </row>
    <row r="58" spans="1:11" s="11" customFormat="1" ht="33.75">
      <c r="A58" s="109" t="s">
        <v>61</v>
      </c>
      <c r="B58" s="21" t="s">
        <v>34</v>
      </c>
      <c r="C58" s="245">
        <v>29</v>
      </c>
      <c r="D58" s="40" t="s">
        <v>14</v>
      </c>
      <c r="E58" s="19">
        <f>0.1765*F58</f>
        <v>5.277349999999999</v>
      </c>
      <c r="F58" s="246">
        <v>29.9</v>
      </c>
      <c r="G58" s="19">
        <f>F58+E58</f>
        <v>35.17735</v>
      </c>
      <c r="H58" s="18">
        <f>G58*C58</f>
        <v>1020.1431499999999</v>
      </c>
      <c r="I58" s="113">
        <f>H58/$H$8</f>
        <v>0.014096343954715979</v>
      </c>
      <c r="J58" s="310" t="s">
        <v>66</v>
      </c>
      <c r="K58" s="311"/>
    </row>
    <row r="59" spans="1:11" s="11" customFormat="1" ht="56.25">
      <c r="A59" s="109" t="s">
        <v>62</v>
      </c>
      <c r="B59" s="21" t="s">
        <v>173</v>
      </c>
      <c r="C59" s="234">
        <v>4</v>
      </c>
      <c r="D59" s="40" t="s">
        <v>14</v>
      </c>
      <c r="E59" s="19">
        <f>0.1765*F59</f>
        <v>50.9379</v>
      </c>
      <c r="F59" s="239">
        <v>288.6</v>
      </c>
      <c r="G59" s="19">
        <f>F59+E59</f>
        <v>339.53790000000004</v>
      </c>
      <c r="H59" s="18">
        <f>G59*C59</f>
        <v>1358.1516000000001</v>
      </c>
      <c r="I59" s="113">
        <f>H59/$H$8</f>
        <v>0.018766946674344517</v>
      </c>
      <c r="J59" s="310" t="s">
        <v>66</v>
      </c>
      <c r="K59" s="311"/>
    </row>
    <row r="60" spans="1:11" ht="12.75">
      <c r="A60" s="109" t="s">
        <v>63</v>
      </c>
      <c r="B60" s="42" t="s">
        <v>22</v>
      </c>
      <c r="C60" s="41">
        <v>12</v>
      </c>
      <c r="D60" s="40" t="s">
        <v>14</v>
      </c>
      <c r="E60" s="19">
        <f>0.1765*F60</f>
        <v>7.042349999999999</v>
      </c>
      <c r="F60" s="29">
        <v>39.9</v>
      </c>
      <c r="G60" s="19">
        <f>F60+E60</f>
        <v>46.94235</v>
      </c>
      <c r="H60" s="19">
        <f>G60*C60</f>
        <v>563.3081999999999</v>
      </c>
      <c r="I60" s="113">
        <f>H60/$H$8</f>
        <v>0.007783795969920437</v>
      </c>
      <c r="J60" s="310" t="s">
        <v>66</v>
      </c>
      <c r="K60" s="311"/>
    </row>
    <row r="61" spans="1:9" ht="12.75">
      <c r="A61" s="312" t="s">
        <v>3</v>
      </c>
      <c r="B61" s="279"/>
      <c r="C61" s="279"/>
      <c r="D61" s="279"/>
      <c r="E61" s="279"/>
      <c r="F61" s="279"/>
      <c r="G61" s="280"/>
      <c r="H61" s="16">
        <f>SUM(H10:H60)</f>
        <v>72369.34294999999</v>
      </c>
      <c r="I61" s="116">
        <f>SUM(I10:I60)</f>
        <v>1.0000000000000002</v>
      </c>
    </row>
    <row r="62" spans="1:9" ht="12.75">
      <c r="A62" s="312" t="s">
        <v>36</v>
      </c>
      <c r="B62" s="279"/>
      <c r="C62" s="279"/>
      <c r="D62" s="279"/>
      <c r="E62" s="279"/>
      <c r="F62" s="279"/>
      <c r="G62" s="280"/>
      <c r="H62" s="16">
        <f>H61*0.22</f>
        <v>15921.255448999998</v>
      </c>
      <c r="I62" s="117">
        <v>0.22</v>
      </c>
    </row>
    <row r="63" spans="1:9" ht="13.5" thickBot="1">
      <c r="A63" s="313" t="s">
        <v>4</v>
      </c>
      <c r="B63" s="314"/>
      <c r="C63" s="314"/>
      <c r="D63" s="314"/>
      <c r="E63" s="314"/>
      <c r="F63" s="314"/>
      <c r="G63" s="315"/>
      <c r="H63" s="118">
        <f>H61+H62</f>
        <v>88290.598399</v>
      </c>
      <c r="I63" s="119"/>
    </row>
    <row r="64" spans="1:9" ht="12.75">
      <c r="A64" s="15"/>
      <c r="B64" s="13"/>
      <c r="C64" s="12"/>
      <c r="D64" s="11"/>
      <c r="E64" s="11"/>
      <c r="F64" s="11"/>
      <c r="G64" s="11"/>
      <c r="H64" s="11"/>
      <c r="I64" s="11"/>
    </row>
    <row r="65" spans="1:9" ht="12.75">
      <c r="A65" s="14"/>
      <c r="B65" s="13"/>
      <c r="C65" s="12"/>
      <c r="D65" s="11"/>
      <c r="E65" s="11"/>
      <c r="F65" s="11"/>
      <c r="G65" s="11"/>
      <c r="H65" s="11"/>
      <c r="I65" s="11"/>
    </row>
    <row r="66" spans="1:9" ht="12.75">
      <c r="A66" s="14"/>
      <c r="B66" s="13"/>
      <c r="C66" s="12"/>
      <c r="D66" s="11"/>
      <c r="E66" s="11"/>
      <c r="F66" s="11"/>
      <c r="G66" s="11"/>
      <c r="H66" s="11"/>
      <c r="I66" s="11"/>
    </row>
  </sheetData>
  <sheetProtection/>
  <mergeCells count="20">
    <mergeCell ref="C1:I1"/>
    <mergeCell ref="C2:I2"/>
    <mergeCell ref="D3:E3"/>
    <mergeCell ref="C4:E4"/>
    <mergeCell ref="G4:I4"/>
    <mergeCell ref="A6:I6"/>
    <mergeCell ref="J27:K27"/>
    <mergeCell ref="J28:K28"/>
    <mergeCell ref="J29:K29"/>
    <mergeCell ref="J30:K30"/>
    <mergeCell ref="J31:K31"/>
    <mergeCell ref="J32:K32"/>
    <mergeCell ref="A61:G61"/>
    <mergeCell ref="A62:G62"/>
    <mergeCell ref="A63:G63"/>
    <mergeCell ref="J33:K33"/>
    <mergeCell ref="J57:K57"/>
    <mergeCell ref="J58:K58"/>
    <mergeCell ref="J59:K59"/>
    <mergeCell ref="J60:K60"/>
  </mergeCells>
  <printOptions horizontalCentered="1" verticalCentered="1"/>
  <pageMargins left="0.5118110236220472" right="0.5118110236220472" top="0.7874015748031497" bottom="1.9291338582677167" header="0.31496062992125984" footer="0.31496062992125984"/>
  <pageSetup horizontalDpi="600" verticalDpi="600" orientation="landscape" paperSize="9" scale="85" r:id="rId2"/>
  <headerFooter>
    <oddFooter>&amp;L&amp;A
Páginas ( &amp;P/&amp;N)&amp;R________________________
Fernando Melo Franco
Engº Eletricista CREA 11.179/D-GO
G5 ENGENHARIA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8"/>
  <sheetViews>
    <sheetView zoomScale="90" zoomScaleNormal="90" zoomScaleSheetLayoutView="100" workbookViewId="0" topLeftCell="A464">
      <pane ySplit="465" topLeftCell="A30" activePane="bottomLeft" state="split"/>
      <selection pane="topLeft" activeCell="C2" sqref="C2:I2"/>
      <selection pane="bottomLeft" activeCell="B59" sqref="B59"/>
    </sheetView>
  </sheetViews>
  <sheetFormatPr defaultColWidth="9.140625" defaultRowHeight="12.75"/>
  <cols>
    <col min="1" max="1" width="5.8515625" style="10" customWidth="1"/>
    <col min="2" max="2" width="91.7109375" style="9" customWidth="1"/>
    <col min="3" max="3" width="8.421875" style="8" bestFit="1" customWidth="1"/>
    <col min="4" max="4" width="4.421875" style="7" customWidth="1"/>
    <col min="5" max="5" width="8.57421875" style="7" customWidth="1"/>
    <col min="6" max="6" width="10.00390625" style="7" customWidth="1"/>
    <col min="7" max="7" width="12.57421875" style="7" customWidth="1"/>
    <col min="8" max="8" width="10.8515625" style="7" customWidth="1"/>
    <col min="9" max="9" width="10.421875" style="7" customWidth="1"/>
    <col min="10" max="10" width="8.8515625" style="7" customWidth="1"/>
    <col min="11" max="11" width="10.57421875" style="7" customWidth="1"/>
    <col min="12" max="16384" width="9.140625" style="7" customWidth="1"/>
  </cols>
  <sheetData>
    <row r="1" spans="1:11" ht="21">
      <c r="A1" s="218"/>
      <c r="B1" s="219" t="s">
        <v>161</v>
      </c>
      <c r="C1" s="319" t="s">
        <v>252</v>
      </c>
      <c r="D1" s="320"/>
      <c r="E1" s="320"/>
      <c r="F1" s="320"/>
      <c r="G1" s="320"/>
      <c r="H1" s="320"/>
      <c r="I1" s="321"/>
      <c r="J1" s="220"/>
      <c r="K1" s="220"/>
    </row>
    <row r="2" spans="1:11" ht="24" customHeight="1">
      <c r="A2" s="221"/>
      <c r="B2" s="222"/>
      <c r="C2" s="319" t="s">
        <v>163</v>
      </c>
      <c r="D2" s="320"/>
      <c r="E2" s="320"/>
      <c r="F2" s="320"/>
      <c r="G2" s="320"/>
      <c r="H2" s="320"/>
      <c r="I2" s="321"/>
      <c r="J2" s="220"/>
      <c r="K2" s="220"/>
    </row>
    <row r="3" spans="1:11" ht="21">
      <c r="A3" s="221"/>
      <c r="B3" s="222"/>
      <c r="C3" s="223" t="s">
        <v>0</v>
      </c>
      <c r="D3" s="322"/>
      <c r="E3" s="322"/>
      <c r="F3" s="224" t="s">
        <v>2</v>
      </c>
      <c r="G3" s="223" t="s">
        <v>25</v>
      </c>
      <c r="H3" s="225"/>
      <c r="I3" s="224"/>
      <c r="J3" s="220"/>
      <c r="K3" s="220"/>
    </row>
    <row r="4" spans="1:11" ht="21">
      <c r="A4" s="226"/>
      <c r="B4" s="227"/>
      <c r="C4" s="323" t="s">
        <v>20</v>
      </c>
      <c r="D4" s="324"/>
      <c r="E4" s="324"/>
      <c r="F4" s="228"/>
      <c r="G4" s="323" t="s">
        <v>35</v>
      </c>
      <c r="H4" s="324"/>
      <c r="I4" s="325"/>
      <c r="J4" s="220"/>
      <c r="K4" s="11"/>
    </row>
    <row r="5" spans="1:11" ht="13.5" thickBot="1">
      <c r="A5" s="229"/>
      <c r="B5" s="230"/>
      <c r="C5" s="231"/>
      <c r="D5" s="232"/>
      <c r="E5" s="232"/>
      <c r="F5" s="232"/>
      <c r="G5" s="232"/>
      <c r="H5" s="232"/>
      <c r="I5" s="233"/>
      <c r="J5" s="11"/>
      <c r="K5" s="11"/>
    </row>
    <row r="6" spans="1:9" s="32" customFormat="1" ht="12" customHeight="1" thickBot="1">
      <c r="A6" s="316" t="s">
        <v>26</v>
      </c>
      <c r="B6" s="317"/>
      <c r="C6" s="317"/>
      <c r="D6" s="317"/>
      <c r="E6" s="317"/>
      <c r="F6" s="317"/>
      <c r="G6" s="317"/>
      <c r="H6" s="317"/>
      <c r="I6" s="318"/>
    </row>
    <row r="7" spans="1:9" s="34" customFormat="1" ht="12" customHeight="1" thickBot="1">
      <c r="A7" s="39" t="s">
        <v>5</v>
      </c>
      <c r="B7" s="38" t="s">
        <v>6</v>
      </c>
      <c r="C7" s="37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5" t="s">
        <v>13</v>
      </c>
    </row>
    <row r="8" spans="1:11" s="32" customFormat="1" ht="12" customHeight="1">
      <c r="A8" s="101"/>
      <c r="B8" s="102" t="s">
        <v>23</v>
      </c>
      <c r="C8" s="103" t="s">
        <v>15</v>
      </c>
      <c r="D8" s="103"/>
      <c r="E8" s="104"/>
      <c r="F8" s="104"/>
      <c r="G8" s="104"/>
      <c r="H8" s="105">
        <f>H63</f>
        <v>57590.98820000001</v>
      </c>
      <c r="I8" s="106">
        <f>I63</f>
        <v>0.9999999999999997</v>
      </c>
      <c r="K8" s="33"/>
    </row>
    <row r="9" spans="1:256" s="32" customFormat="1" ht="12" customHeight="1">
      <c r="A9" s="107">
        <v>1</v>
      </c>
      <c r="B9" s="80" t="s">
        <v>18</v>
      </c>
      <c r="C9" s="81"/>
      <c r="D9" s="81"/>
      <c r="E9" s="82"/>
      <c r="F9" s="82"/>
      <c r="G9" s="82"/>
      <c r="H9" s="82"/>
      <c r="I9" s="108"/>
      <c r="J9" s="79"/>
      <c r="K9" s="75"/>
      <c r="L9" s="76"/>
      <c r="M9" s="76"/>
      <c r="N9" s="77"/>
      <c r="O9" s="77"/>
      <c r="P9" s="77"/>
      <c r="Q9" s="77"/>
      <c r="R9" s="78"/>
      <c r="S9" s="79"/>
      <c r="T9" s="75"/>
      <c r="U9" s="76"/>
      <c r="V9" s="76"/>
      <c r="W9" s="77"/>
      <c r="X9" s="77"/>
      <c r="Y9" s="77"/>
      <c r="Z9" s="77"/>
      <c r="AA9" s="78"/>
      <c r="AB9" s="79"/>
      <c r="AC9" s="75"/>
      <c r="AD9" s="76"/>
      <c r="AE9" s="76"/>
      <c r="AF9" s="77"/>
      <c r="AG9" s="77"/>
      <c r="AH9" s="77"/>
      <c r="AI9" s="77"/>
      <c r="AJ9" s="78"/>
      <c r="AK9" s="79"/>
      <c r="AL9" s="75"/>
      <c r="AM9" s="76"/>
      <c r="AN9" s="76"/>
      <c r="AO9" s="77"/>
      <c r="AP9" s="77"/>
      <c r="AQ9" s="77"/>
      <c r="AR9" s="77"/>
      <c r="AS9" s="78"/>
      <c r="AT9" s="79"/>
      <c r="AU9" s="75"/>
      <c r="AV9" s="76"/>
      <c r="AW9" s="76"/>
      <c r="AX9" s="77"/>
      <c r="AY9" s="77"/>
      <c r="AZ9" s="77"/>
      <c r="BA9" s="77"/>
      <c r="BB9" s="78"/>
      <c r="BC9" s="79"/>
      <c r="BD9" s="75"/>
      <c r="BE9" s="76"/>
      <c r="BF9" s="76"/>
      <c r="BG9" s="77"/>
      <c r="BH9" s="77"/>
      <c r="BI9" s="77"/>
      <c r="BJ9" s="77"/>
      <c r="BK9" s="78"/>
      <c r="BL9" s="79"/>
      <c r="BM9" s="75"/>
      <c r="BN9" s="76"/>
      <c r="BO9" s="76"/>
      <c r="BP9" s="77"/>
      <c r="BQ9" s="77"/>
      <c r="BR9" s="77"/>
      <c r="BS9" s="77"/>
      <c r="BT9" s="78"/>
      <c r="BU9" s="79"/>
      <c r="BV9" s="75"/>
      <c r="BW9" s="76"/>
      <c r="BX9" s="76"/>
      <c r="BY9" s="77"/>
      <c r="BZ9" s="77"/>
      <c r="CA9" s="77"/>
      <c r="CB9" s="77"/>
      <c r="CC9" s="78"/>
      <c r="CD9" s="79"/>
      <c r="CE9" s="75"/>
      <c r="CF9" s="76"/>
      <c r="CG9" s="76"/>
      <c r="CH9" s="77"/>
      <c r="CI9" s="77"/>
      <c r="CJ9" s="77"/>
      <c r="CK9" s="77"/>
      <c r="CL9" s="78"/>
      <c r="CM9" s="79"/>
      <c r="CN9" s="75"/>
      <c r="CO9" s="76"/>
      <c r="CP9" s="76"/>
      <c r="CQ9" s="77"/>
      <c r="CR9" s="77"/>
      <c r="CS9" s="77"/>
      <c r="CT9" s="77"/>
      <c r="CU9" s="78"/>
      <c r="CV9" s="79"/>
      <c r="CW9" s="75"/>
      <c r="CX9" s="76"/>
      <c r="CY9" s="76"/>
      <c r="CZ9" s="77"/>
      <c r="DA9" s="77"/>
      <c r="DB9" s="77"/>
      <c r="DC9" s="77"/>
      <c r="DD9" s="78"/>
      <c r="DE9" s="79"/>
      <c r="DF9" s="75"/>
      <c r="DG9" s="76"/>
      <c r="DH9" s="76"/>
      <c r="DI9" s="77"/>
      <c r="DJ9" s="77"/>
      <c r="DK9" s="77"/>
      <c r="DL9" s="77"/>
      <c r="DM9" s="78"/>
      <c r="DN9" s="79"/>
      <c r="DO9" s="75"/>
      <c r="DP9" s="76"/>
      <c r="DQ9" s="76"/>
      <c r="DR9" s="77"/>
      <c r="DS9" s="77"/>
      <c r="DT9" s="77"/>
      <c r="DU9" s="77"/>
      <c r="DV9" s="78"/>
      <c r="DW9" s="79"/>
      <c r="DX9" s="75"/>
      <c r="DY9" s="76"/>
      <c r="DZ9" s="76"/>
      <c r="EA9" s="77"/>
      <c r="EB9" s="77"/>
      <c r="EC9" s="77"/>
      <c r="ED9" s="77"/>
      <c r="EE9" s="78"/>
      <c r="EF9" s="79"/>
      <c r="EG9" s="75"/>
      <c r="EH9" s="76"/>
      <c r="EI9" s="76"/>
      <c r="EJ9" s="77"/>
      <c r="EK9" s="77"/>
      <c r="EL9" s="77"/>
      <c r="EM9" s="77"/>
      <c r="EN9" s="78"/>
      <c r="EO9" s="79"/>
      <c r="EP9" s="75"/>
      <c r="EQ9" s="76"/>
      <c r="ER9" s="76"/>
      <c r="ES9" s="77"/>
      <c r="ET9" s="77"/>
      <c r="EU9" s="77"/>
      <c r="EV9" s="77"/>
      <c r="EW9" s="78"/>
      <c r="EX9" s="79"/>
      <c r="EY9" s="75"/>
      <c r="EZ9" s="76"/>
      <c r="FA9" s="76"/>
      <c r="FB9" s="77"/>
      <c r="FC9" s="77"/>
      <c r="FD9" s="77"/>
      <c r="FE9" s="77"/>
      <c r="FF9" s="78"/>
      <c r="FG9" s="79"/>
      <c r="FH9" s="75"/>
      <c r="FI9" s="76"/>
      <c r="FJ9" s="76"/>
      <c r="FK9" s="77"/>
      <c r="FL9" s="77"/>
      <c r="FM9" s="77"/>
      <c r="FN9" s="77"/>
      <c r="FO9" s="78"/>
      <c r="FP9" s="79"/>
      <c r="FQ9" s="75"/>
      <c r="FR9" s="76"/>
      <c r="FS9" s="76"/>
      <c r="FT9" s="77"/>
      <c r="FU9" s="77"/>
      <c r="FV9" s="77"/>
      <c r="FW9" s="77"/>
      <c r="FX9" s="78"/>
      <c r="FY9" s="79"/>
      <c r="FZ9" s="75"/>
      <c r="GA9" s="76"/>
      <c r="GB9" s="76"/>
      <c r="GC9" s="77"/>
      <c r="GD9" s="77"/>
      <c r="GE9" s="77"/>
      <c r="GF9" s="77"/>
      <c r="GG9" s="78"/>
      <c r="GH9" s="79"/>
      <c r="GI9" s="75"/>
      <c r="GJ9" s="76"/>
      <c r="GK9" s="76"/>
      <c r="GL9" s="77"/>
      <c r="GM9" s="77"/>
      <c r="GN9" s="77"/>
      <c r="GO9" s="77"/>
      <c r="GP9" s="78"/>
      <c r="GQ9" s="79"/>
      <c r="GR9" s="75"/>
      <c r="GS9" s="76"/>
      <c r="GT9" s="76"/>
      <c r="GU9" s="77"/>
      <c r="GV9" s="77"/>
      <c r="GW9" s="77"/>
      <c r="GX9" s="77"/>
      <c r="GY9" s="78"/>
      <c r="GZ9" s="79"/>
      <c r="HA9" s="75"/>
      <c r="HB9" s="76"/>
      <c r="HC9" s="76"/>
      <c r="HD9" s="77"/>
      <c r="HE9" s="77"/>
      <c r="HF9" s="77"/>
      <c r="HG9" s="77"/>
      <c r="HH9" s="78"/>
      <c r="HI9" s="79"/>
      <c r="HJ9" s="75"/>
      <c r="HK9" s="76"/>
      <c r="HL9" s="76"/>
      <c r="HM9" s="77"/>
      <c r="HN9" s="77"/>
      <c r="HO9" s="77"/>
      <c r="HP9" s="77"/>
      <c r="HQ9" s="78"/>
      <c r="HR9" s="79"/>
      <c r="HS9" s="75"/>
      <c r="HT9" s="76"/>
      <c r="HU9" s="76"/>
      <c r="HV9" s="77"/>
      <c r="HW9" s="77"/>
      <c r="HX9" s="77"/>
      <c r="HY9" s="77"/>
      <c r="HZ9" s="78"/>
      <c r="IA9" s="79"/>
      <c r="IB9" s="75"/>
      <c r="IC9" s="76"/>
      <c r="ID9" s="76"/>
      <c r="IE9" s="77"/>
      <c r="IF9" s="77"/>
      <c r="IG9" s="77"/>
      <c r="IH9" s="77"/>
      <c r="II9" s="78"/>
      <c r="IJ9" s="79"/>
      <c r="IK9" s="75"/>
      <c r="IL9" s="76"/>
      <c r="IM9" s="76"/>
      <c r="IN9" s="77"/>
      <c r="IO9" s="77"/>
      <c r="IP9" s="77"/>
      <c r="IQ9" s="77"/>
      <c r="IR9" s="78"/>
      <c r="IS9" s="79"/>
      <c r="IT9" s="75"/>
      <c r="IU9" s="76"/>
      <c r="IV9" s="76"/>
    </row>
    <row r="10" spans="1:11" s="11" customFormat="1" ht="12" customHeight="1">
      <c r="A10" s="109" t="s">
        <v>37</v>
      </c>
      <c r="B10" s="30" t="s">
        <v>77</v>
      </c>
      <c r="C10" s="49">
        <v>3</v>
      </c>
      <c r="D10" s="89" t="s">
        <v>14</v>
      </c>
      <c r="E10" s="53">
        <f>G10*0.15</f>
        <v>3.1305</v>
      </c>
      <c r="F10" s="53">
        <f>G10*0.85</f>
        <v>17.7395</v>
      </c>
      <c r="G10" s="29">
        <v>20.87</v>
      </c>
      <c r="H10" s="29">
        <f>G10*C10</f>
        <v>62.61</v>
      </c>
      <c r="I10" s="110">
        <f>H10/$H$8</f>
        <v>0.001087149256452592</v>
      </c>
      <c r="J10" s="96" t="s">
        <v>33</v>
      </c>
      <c r="K10" s="84">
        <v>91996</v>
      </c>
    </row>
    <row r="11" spans="1:11" s="11" customFormat="1" ht="11.25" customHeight="1">
      <c r="A11" s="109" t="s">
        <v>38</v>
      </c>
      <c r="B11" s="30" t="s">
        <v>133</v>
      </c>
      <c r="C11" s="49">
        <v>34</v>
      </c>
      <c r="D11" s="89" t="s">
        <v>14</v>
      </c>
      <c r="E11" s="53">
        <f>G11*0.15</f>
        <v>2.7825</v>
      </c>
      <c r="F11" s="53">
        <f>G11*0.85</f>
        <v>15.7675</v>
      </c>
      <c r="G11" s="29">
        <v>18.55</v>
      </c>
      <c r="H11" s="29">
        <f>G11*C11</f>
        <v>630.7</v>
      </c>
      <c r="I11" s="110">
        <f>H11/$H$8</f>
        <v>0.010951366172251233</v>
      </c>
      <c r="J11" s="96" t="s">
        <v>33</v>
      </c>
      <c r="K11" s="84">
        <v>92000</v>
      </c>
    </row>
    <row r="12" spans="1:11" s="11" customFormat="1" ht="11.25" customHeight="1">
      <c r="A12" s="109" t="s">
        <v>64</v>
      </c>
      <c r="B12" s="30" t="s">
        <v>93</v>
      </c>
      <c r="C12" s="49">
        <v>2</v>
      </c>
      <c r="D12" s="89" t="s">
        <v>14</v>
      </c>
      <c r="E12" s="53">
        <f>G12*0.15</f>
        <v>4.374</v>
      </c>
      <c r="F12" s="53">
        <f>G12*0.85</f>
        <v>24.785999999999998</v>
      </c>
      <c r="G12" s="29">
        <v>29.16</v>
      </c>
      <c r="H12" s="29">
        <f>G12*C12</f>
        <v>58.32</v>
      </c>
      <c r="I12" s="110">
        <f>H12/$H$8</f>
        <v>0.0010126584353348533</v>
      </c>
      <c r="J12" s="96" t="s">
        <v>33</v>
      </c>
      <c r="K12" s="84">
        <v>92008</v>
      </c>
    </row>
    <row r="13" spans="1:11" s="11" customFormat="1" ht="12" customHeight="1">
      <c r="A13" s="109" t="s">
        <v>65</v>
      </c>
      <c r="B13" s="30" t="s">
        <v>134</v>
      </c>
      <c r="C13" s="49">
        <v>2</v>
      </c>
      <c r="D13" s="89" t="s">
        <v>14</v>
      </c>
      <c r="E13" s="53">
        <f>G13*0.15</f>
        <v>3.1305</v>
      </c>
      <c r="F13" s="53">
        <f>G13*0.85</f>
        <v>17.7395</v>
      </c>
      <c r="G13" s="29">
        <v>20.87</v>
      </c>
      <c r="H13" s="29">
        <f>G13*C13</f>
        <v>41.74</v>
      </c>
      <c r="I13" s="110">
        <f>H13/$H$8</f>
        <v>0.0007247661709683947</v>
      </c>
      <c r="J13" s="96" t="s">
        <v>33</v>
      </c>
      <c r="K13" s="84">
        <v>91996</v>
      </c>
    </row>
    <row r="14" spans="1:11" s="11" customFormat="1" ht="11.25">
      <c r="A14" s="109" t="s">
        <v>79</v>
      </c>
      <c r="B14" s="30" t="s">
        <v>95</v>
      </c>
      <c r="C14" s="234">
        <v>13</v>
      </c>
      <c r="D14" s="89" t="s">
        <v>14</v>
      </c>
      <c r="E14" s="53">
        <f>G14*0.15</f>
        <v>4.0245</v>
      </c>
      <c r="F14" s="53">
        <f>G14*0.85</f>
        <v>22.8055</v>
      </c>
      <c r="G14" s="29">
        <v>26.83</v>
      </c>
      <c r="H14" s="29">
        <f>G14*C14</f>
        <v>348.78999999999996</v>
      </c>
      <c r="I14" s="110">
        <f>H14/$H$8</f>
        <v>0.0060563294866331175</v>
      </c>
      <c r="J14" s="96" t="s">
        <v>33</v>
      </c>
      <c r="K14" s="84">
        <v>91992</v>
      </c>
    </row>
    <row r="15" spans="1:11" s="11" customFormat="1" ht="11.25">
      <c r="A15" s="111">
        <v>2</v>
      </c>
      <c r="B15" s="25" t="s">
        <v>32</v>
      </c>
      <c r="C15" s="50"/>
      <c r="D15" s="24"/>
      <c r="E15" s="23"/>
      <c r="F15" s="23"/>
      <c r="G15" s="22"/>
      <c r="H15" s="22"/>
      <c r="I15" s="112"/>
      <c r="J15" s="98"/>
      <c r="K15" s="99"/>
    </row>
    <row r="16" spans="1:11" s="11" customFormat="1" ht="23.25" customHeight="1">
      <c r="A16" s="109" t="s">
        <v>39</v>
      </c>
      <c r="B16" s="85" t="s">
        <v>262</v>
      </c>
      <c r="C16" s="49">
        <v>1</v>
      </c>
      <c r="D16" s="89" t="s">
        <v>14</v>
      </c>
      <c r="E16" s="53">
        <f aca="true" t="shared" si="0" ref="E16:E23">G16*0.15</f>
        <v>7.047</v>
      </c>
      <c r="F16" s="53">
        <f aca="true" t="shared" si="1" ref="F16:F23">G16*0.85</f>
        <v>39.933</v>
      </c>
      <c r="G16" s="29">
        <v>46.98</v>
      </c>
      <c r="H16" s="29">
        <f>G16*C16</f>
        <v>46.98</v>
      </c>
      <c r="I16" s="110">
        <f>H16/$H$8</f>
        <v>0.0008157526284641873</v>
      </c>
      <c r="J16" s="100" t="s">
        <v>33</v>
      </c>
      <c r="K16" s="73" t="s">
        <v>76</v>
      </c>
    </row>
    <row r="17" spans="1:11" s="11" customFormat="1" ht="23.25" customHeight="1">
      <c r="A17" s="109" t="s">
        <v>109</v>
      </c>
      <c r="B17" s="85" t="s">
        <v>164</v>
      </c>
      <c r="C17" s="49">
        <v>2</v>
      </c>
      <c r="D17" s="89" t="s">
        <v>14</v>
      </c>
      <c r="E17" s="53">
        <f t="shared" si="0"/>
        <v>25.1835</v>
      </c>
      <c r="F17" s="53">
        <f t="shared" si="1"/>
        <v>142.70649999999998</v>
      </c>
      <c r="G17" s="29">
        <v>167.89</v>
      </c>
      <c r="H17" s="29">
        <f aca="true" t="shared" si="2" ref="H17:H23">G17*C17</f>
        <v>335.78</v>
      </c>
      <c r="I17" s="110">
        <f aca="true" t="shared" si="3" ref="I17:I23">H17/$H$8</f>
        <v>0.005830426087392609</v>
      </c>
      <c r="J17" s="100" t="s">
        <v>33</v>
      </c>
      <c r="K17" s="73" t="s">
        <v>167</v>
      </c>
    </row>
    <row r="18" spans="1:11" s="11" customFormat="1" ht="23.25" customHeight="1">
      <c r="A18" s="109" t="s">
        <v>138</v>
      </c>
      <c r="B18" s="85" t="s">
        <v>253</v>
      </c>
      <c r="C18" s="49">
        <v>1</v>
      </c>
      <c r="D18" s="89" t="s">
        <v>14</v>
      </c>
      <c r="E18" s="53">
        <f t="shared" si="0"/>
        <v>40.3935</v>
      </c>
      <c r="F18" s="53">
        <f t="shared" si="1"/>
        <v>228.8965</v>
      </c>
      <c r="G18" s="29">
        <v>269.29</v>
      </c>
      <c r="H18" s="29">
        <f t="shared" si="2"/>
        <v>269.29</v>
      </c>
      <c r="I18" s="110">
        <f t="shared" si="3"/>
        <v>0.004675905179206493</v>
      </c>
      <c r="J18" s="100" t="s">
        <v>33</v>
      </c>
      <c r="K18" s="73" t="s">
        <v>254</v>
      </c>
    </row>
    <row r="19" spans="1:11" s="11" customFormat="1" ht="23.25" customHeight="1">
      <c r="A19" s="109" t="s">
        <v>40</v>
      </c>
      <c r="B19" s="85" t="s">
        <v>255</v>
      </c>
      <c r="C19" s="49">
        <v>1</v>
      </c>
      <c r="D19" s="89" t="s">
        <v>14</v>
      </c>
      <c r="E19" s="53">
        <f t="shared" si="0"/>
        <v>57.552</v>
      </c>
      <c r="F19" s="53">
        <f t="shared" si="1"/>
        <v>326.128</v>
      </c>
      <c r="G19" s="29">
        <v>383.68</v>
      </c>
      <c r="H19" s="29">
        <f t="shared" si="2"/>
        <v>383.68</v>
      </c>
      <c r="I19" s="110">
        <f t="shared" si="3"/>
        <v>0.00666215343740186</v>
      </c>
      <c r="J19" s="100" t="s">
        <v>33</v>
      </c>
      <c r="K19" s="73" t="s">
        <v>166</v>
      </c>
    </row>
    <row r="20" spans="1:11" s="11" customFormat="1" ht="11.25">
      <c r="A20" s="109" t="s">
        <v>41</v>
      </c>
      <c r="B20" s="26" t="s">
        <v>72</v>
      </c>
      <c r="C20" s="234">
        <v>100</v>
      </c>
      <c r="D20" s="237" t="s">
        <v>14</v>
      </c>
      <c r="E20" s="236">
        <f t="shared" si="0"/>
        <v>2.2965</v>
      </c>
      <c r="F20" s="236">
        <f t="shared" si="1"/>
        <v>13.0135</v>
      </c>
      <c r="G20" s="29">
        <v>15.31</v>
      </c>
      <c r="H20" s="29">
        <f t="shared" si="2"/>
        <v>1531</v>
      </c>
      <c r="I20" s="110">
        <f t="shared" si="3"/>
        <v>0.026584020310316533</v>
      </c>
      <c r="J20" s="100" t="s">
        <v>33</v>
      </c>
      <c r="K20" s="238" t="s">
        <v>73</v>
      </c>
    </row>
    <row r="21" spans="1:11" s="11" customFormat="1" ht="11.25">
      <c r="A21" s="109" t="s">
        <v>110</v>
      </c>
      <c r="B21" s="26" t="s">
        <v>75</v>
      </c>
      <c r="C21" s="234">
        <v>70</v>
      </c>
      <c r="D21" s="237" t="s">
        <v>14</v>
      </c>
      <c r="E21" s="236">
        <f t="shared" si="0"/>
        <v>1.65</v>
      </c>
      <c r="F21" s="236">
        <f t="shared" si="1"/>
        <v>9.35</v>
      </c>
      <c r="G21" s="19">
        <v>11</v>
      </c>
      <c r="H21" s="29">
        <f t="shared" si="2"/>
        <v>770</v>
      </c>
      <c r="I21" s="110">
        <f t="shared" si="3"/>
        <v>0.013370147380106943</v>
      </c>
      <c r="J21" s="100" t="s">
        <v>33</v>
      </c>
      <c r="K21" s="238" t="s">
        <v>80</v>
      </c>
    </row>
    <row r="22" spans="1:11" s="11" customFormat="1" ht="11.25">
      <c r="A22" s="109" t="s">
        <v>111</v>
      </c>
      <c r="B22" s="30" t="s">
        <v>83</v>
      </c>
      <c r="C22" s="49">
        <v>211</v>
      </c>
      <c r="D22" s="89" t="s">
        <v>14</v>
      </c>
      <c r="E22" s="53">
        <f t="shared" si="0"/>
        <v>1.2195</v>
      </c>
      <c r="F22" s="53">
        <f t="shared" si="1"/>
        <v>6.910500000000001</v>
      </c>
      <c r="G22" s="29">
        <v>8.13</v>
      </c>
      <c r="H22" s="29">
        <f t="shared" si="2"/>
        <v>1715.43</v>
      </c>
      <c r="I22" s="110">
        <f t="shared" si="3"/>
        <v>0.029786431065268643</v>
      </c>
      <c r="J22" s="100" t="s">
        <v>33</v>
      </c>
      <c r="K22" s="84">
        <v>91936</v>
      </c>
    </row>
    <row r="23" spans="1:11" s="45" customFormat="1" ht="11.25" customHeight="1">
      <c r="A23" s="109" t="s">
        <v>112</v>
      </c>
      <c r="B23" s="123" t="s">
        <v>104</v>
      </c>
      <c r="C23" s="41">
        <v>6</v>
      </c>
      <c r="D23" s="46" t="s">
        <v>14</v>
      </c>
      <c r="E23" s="53">
        <f t="shared" si="0"/>
        <v>1.419</v>
      </c>
      <c r="F23" s="53">
        <f t="shared" si="1"/>
        <v>8.041</v>
      </c>
      <c r="G23" s="19">
        <v>9.46</v>
      </c>
      <c r="H23" s="29">
        <f t="shared" si="2"/>
        <v>56.760000000000005</v>
      </c>
      <c r="I23" s="110">
        <f t="shared" si="3"/>
        <v>0.000985570864019312</v>
      </c>
      <c r="J23" s="96" t="s">
        <v>33</v>
      </c>
      <c r="K23" s="74">
        <v>91940</v>
      </c>
    </row>
    <row r="24" spans="1:11" s="11" customFormat="1" ht="12.75" customHeight="1">
      <c r="A24" s="111">
        <v>3</v>
      </c>
      <c r="B24" s="25" t="s">
        <v>16</v>
      </c>
      <c r="C24" s="50"/>
      <c r="D24" s="24"/>
      <c r="E24" s="23"/>
      <c r="F24" s="23"/>
      <c r="G24" s="22"/>
      <c r="H24" s="22"/>
      <c r="I24" s="112"/>
      <c r="J24" s="98"/>
      <c r="K24" s="99"/>
    </row>
    <row r="25" spans="1:11" s="11" customFormat="1" ht="22.5">
      <c r="A25" s="109" t="s">
        <v>42</v>
      </c>
      <c r="B25" s="26" t="s">
        <v>84</v>
      </c>
      <c r="C25" s="234">
        <v>500</v>
      </c>
      <c r="D25" s="20" t="s">
        <v>1</v>
      </c>
      <c r="E25" s="19">
        <f>G25*0.15</f>
        <v>0.591</v>
      </c>
      <c r="F25" s="239">
        <f>G25*0.85</f>
        <v>3.3489999999999998</v>
      </c>
      <c r="G25" s="19">
        <v>3.94</v>
      </c>
      <c r="H25" s="19">
        <f aca="true" t="shared" si="4" ref="H25:H35">G25*C25</f>
        <v>1970</v>
      </c>
      <c r="I25" s="113">
        <f aca="true" t="shared" si="5" ref="I25:I35">H25/$H$8</f>
        <v>0.03420674069975413</v>
      </c>
      <c r="J25" s="240" t="s">
        <v>33</v>
      </c>
      <c r="K25" s="87">
        <v>91834</v>
      </c>
    </row>
    <row r="26" spans="1:11" s="11" customFormat="1" ht="22.5">
      <c r="A26" s="109" t="s">
        <v>43</v>
      </c>
      <c r="B26" s="26" t="s">
        <v>85</v>
      </c>
      <c r="C26" s="234">
        <v>1000</v>
      </c>
      <c r="D26" s="20" t="s">
        <v>1</v>
      </c>
      <c r="E26" s="19">
        <f>G26*0.15</f>
        <v>1.1055</v>
      </c>
      <c r="F26" s="239">
        <f>G26*0.85</f>
        <v>6.2645</v>
      </c>
      <c r="G26" s="19">
        <v>7.37</v>
      </c>
      <c r="H26" s="19">
        <f t="shared" si="4"/>
        <v>7370</v>
      </c>
      <c r="I26" s="113">
        <f t="shared" si="5"/>
        <v>0.12797141063816647</v>
      </c>
      <c r="J26" s="240" t="s">
        <v>33</v>
      </c>
      <c r="K26" s="87">
        <v>91871</v>
      </c>
    </row>
    <row r="27" spans="1:11" s="11" customFormat="1" ht="12" customHeight="1">
      <c r="A27" s="109" t="s">
        <v>107</v>
      </c>
      <c r="B27" s="43" t="s">
        <v>251</v>
      </c>
      <c r="C27" s="122">
        <v>150</v>
      </c>
      <c r="D27" s="40" t="s">
        <v>1</v>
      </c>
      <c r="E27" s="3">
        <f>G27*0.15</f>
        <v>1.434</v>
      </c>
      <c r="F27" s="94">
        <f>G27*0.85</f>
        <v>8.126</v>
      </c>
      <c r="G27" s="3">
        <v>9.56</v>
      </c>
      <c r="H27" s="19">
        <f t="shared" si="4"/>
        <v>1434</v>
      </c>
      <c r="I27" s="113">
        <f t="shared" si="5"/>
        <v>0.024899729016978386</v>
      </c>
      <c r="J27" s="91" t="s">
        <v>33</v>
      </c>
      <c r="K27" s="92">
        <v>93008</v>
      </c>
    </row>
    <row r="28" spans="1:11" s="11" customFormat="1" ht="12" customHeight="1">
      <c r="A28" s="109" t="s">
        <v>44</v>
      </c>
      <c r="B28" s="43" t="s">
        <v>160</v>
      </c>
      <c r="C28" s="122">
        <v>80</v>
      </c>
      <c r="D28" s="40" t="s">
        <v>1</v>
      </c>
      <c r="E28" s="19">
        <v>22.55</v>
      </c>
      <c r="F28" s="239">
        <v>16.99</v>
      </c>
      <c r="G28" s="19">
        <f>E28+F28</f>
        <v>39.54</v>
      </c>
      <c r="H28" s="19">
        <f t="shared" si="4"/>
        <v>3163.2</v>
      </c>
      <c r="I28" s="113">
        <f t="shared" si="5"/>
        <v>0.054925259990589975</v>
      </c>
      <c r="J28" s="96" t="s">
        <v>67</v>
      </c>
      <c r="K28" s="72">
        <v>71207</v>
      </c>
    </row>
    <row r="29" spans="1:11" s="11" customFormat="1" ht="12" customHeight="1">
      <c r="A29" s="109" t="s">
        <v>108</v>
      </c>
      <c r="B29" s="43" t="s">
        <v>116</v>
      </c>
      <c r="C29" s="44">
        <v>45</v>
      </c>
      <c r="D29" s="40" t="s">
        <v>68</v>
      </c>
      <c r="E29" s="19">
        <v>23.85</v>
      </c>
      <c r="F29" s="19">
        <v>79.45</v>
      </c>
      <c r="G29" s="19">
        <f>E29+F29</f>
        <v>103.30000000000001</v>
      </c>
      <c r="H29" s="19">
        <f t="shared" si="4"/>
        <v>4648.500000000001</v>
      </c>
      <c r="I29" s="113">
        <f t="shared" si="5"/>
        <v>0.08071575337198329</v>
      </c>
      <c r="J29" s="310" t="s">
        <v>66</v>
      </c>
      <c r="K29" s="311"/>
    </row>
    <row r="30" spans="1:11" s="11" customFormat="1" ht="11.25">
      <c r="A30" s="109" t="s">
        <v>125</v>
      </c>
      <c r="B30" s="26" t="s">
        <v>118</v>
      </c>
      <c r="C30" s="234">
        <v>2</v>
      </c>
      <c r="D30" s="235" t="s">
        <v>14</v>
      </c>
      <c r="E30" s="236">
        <v>4.7</v>
      </c>
      <c r="F30" s="236">
        <v>14.7</v>
      </c>
      <c r="G30" s="19">
        <v>20.91</v>
      </c>
      <c r="H30" s="19">
        <f t="shared" si="4"/>
        <v>41.82</v>
      </c>
      <c r="I30" s="113">
        <f t="shared" si="5"/>
        <v>0.0007261552771897044</v>
      </c>
      <c r="J30" s="310" t="s">
        <v>66</v>
      </c>
      <c r="K30" s="311"/>
    </row>
    <row r="31" spans="1:11" s="11" customFormat="1" ht="11.25">
      <c r="A31" s="109" t="s">
        <v>126</v>
      </c>
      <c r="B31" s="26" t="s">
        <v>120</v>
      </c>
      <c r="C31" s="234">
        <v>2</v>
      </c>
      <c r="D31" s="235" t="s">
        <v>14</v>
      </c>
      <c r="E31" s="239">
        <v>4.7</v>
      </c>
      <c r="F31" s="239">
        <v>15.62</v>
      </c>
      <c r="G31" s="19">
        <f>E31+F31</f>
        <v>20.32</v>
      </c>
      <c r="H31" s="19">
        <f t="shared" si="4"/>
        <v>40.64</v>
      </c>
      <c r="I31" s="113">
        <f t="shared" si="5"/>
        <v>0.0007056659604253847</v>
      </c>
      <c r="J31" s="310" t="s">
        <v>66</v>
      </c>
      <c r="K31" s="311"/>
    </row>
    <row r="32" spans="1:11" s="243" customFormat="1" ht="12.75">
      <c r="A32" s="109" t="s">
        <v>117</v>
      </c>
      <c r="B32" s="241" t="s">
        <v>256</v>
      </c>
      <c r="C32" s="54">
        <v>10</v>
      </c>
      <c r="D32" s="40" t="s">
        <v>68</v>
      </c>
      <c r="E32" s="19">
        <v>7.94</v>
      </c>
      <c r="F32" s="19">
        <v>46.46</v>
      </c>
      <c r="G32" s="19">
        <f>E32+F32</f>
        <v>54.4</v>
      </c>
      <c r="H32" s="19">
        <f t="shared" si="4"/>
        <v>544</v>
      </c>
      <c r="I32" s="113">
        <f t="shared" si="5"/>
        <v>0.009445922304906724</v>
      </c>
      <c r="J32" s="310" t="s">
        <v>66</v>
      </c>
      <c r="K32" s="311"/>
    </row>
    <row r="33" spans="1:11" s="243" customFormat="1" ht="12.75">
      <c r="A33" s="109" t="s">
        <v>119</v>
      </c>
      <c r="B33" s="241" t="s">
        <v>257</v>
      </c>
      <c r="C33" s="54">
        <v>7</v>
      </c>
      <c r="D33" s="244" t="s">
        <v>14</v>
      </c>
      <c r="E33" s="19">
        <v>0.85</v>
      </c>
      <c r="F33" s="19">
        <v>4.47</v>
      </c>
      <c r="G33" s="19">
        <v>4.47</v>
      </c>
      <c r="H33" s="19">
        <f t="shared" si="4"/>
        <v>31.29</v>
      </c>
      <c r="I33" s="113">
        <f t="shared" si="5"/>
        <v>0.0005433141708098004</v>
      </c>
      <c r="J33" s="310" t="s">
        <v>66</v>
      </c>
      <c r="K33" s="311"/>
    </row>
    <row r="34" spans="1:11" s="243" customFormat="1" ht="12.75">
      <c r="A34" s="109" t="s">
        <v>258</v>
      </c>
      <c r="B34" s="241" t="s">
        <v>259</v>
      </c>
      <c r="C34" s="54">
        <v>2</v>
      </c>
      <c r="D34" s="244" t="s">
        <v>14</v>
      </c>
      <c r="E34" s="19">
        <v>0.85</v>
      </c>
      <c r="F34" s="19">
        <v>2.35</v>
      </c>
      <c r="G34" s="19">
        <f>E34+F34</f>
        <v>3.2</v>
      </c>
      <c r="H34" s="19">
        <f t="shared" si="4"/>
        <v>6.4</v>
      </c>
      <c r="I34" s="113">
        <f t="shared" si="5"/>
        <v>0.00011112849770478499</v>
      </c>
      <c r="J34" s="310" t="s">
        <v>66</v>
      </c>
      <c r="K34" s="311"/>
    </row>
    <row r="35" spans="1:11" s="11" customFormat="1" ht="11.25">
      <c r="A35" s="109" t="s">
        <v>260</v>
      </c>
      <c r="B35" s="26" t="s">
        <v>127</v>
      </c>
      <c r="C35" s="19">
        <v>80</v>
      </c>
      <c r="D35" s="20" t="s">
        <v>14</v>
      </c>
      <c r="E35" s="19">
        <v>0.54</v>
      </c>
      <c r="F35" s="19">
        <v>1.84</v>
      </c>
      <c r="G35" s="19">
        <f>F35+E35</f>
        <v>2.38</v>
      </c>
      <c r="H35" s="19">
        <f t="shared" si="4"/>
        <v>190.39999999999998</v>
      </c>
      <c r="I35" s="113">
        <f t="shared" si="5"/>
        <v>0.003306072806717353</v>
      </c>
      <c r="J35" s="310" t="s">
        <v>66</v>
      </c>
      <c r="K35" s="311"/>
    </row>
    <row r="36" spans="1:11" s="11" customFormat="1" ht="11.25" customHeight="1">
      <c r="A36" s="111">
        <v>4</v>
      </c>
      <c r="B36" s="25" t="s">
        <v>24</v>
      </c>
      <c r="C36" s="52"/>
      <c r="D36" s="93"/>
      <c r="E36" s="52"/>
      <c r="F36" s="52"/>
      <c r="G36" s="52"/>
      <c r="H36" s="52"/>
      <c r="I36" s="114"/>
      <c r="J36" s="98"/>
      <c r="K36" s="99"/>
    </row>
    <row r="37" spans="1:11" s="11" customFormat="1" ht="11.25" customHeight="1">
      <c r="A37" s="109" t="s">
        <v>45</v>
      </c>
      <c r="B37" s="26" t="s">
        <v>139</v>
      </c>
      <c r="C37" s="49">
        <v>45</v>
      </c>
      <c r="D37" s="20" t="s">
        <v>14</v>
      </c>
      <c r="E37" s="19">
        <f>G37*0.15</f>
        <v>1.809</v>
      </c>
      <c r="F37" s="239">
        <f>G37*0.85</f>
        <v>10.251</v>
      </c>
      <c r="G37" s="19">
        <v>12.06</v>
      </c>
      <c r="H37" s="19">
        <f aca="true" t="shared" si="6" ref="H37:H42">G37*C37</f>
        <v>542.7</v>
      </c>
      <c r="I37" s="113">
        <f aca="true" t="shared" si="7" ref="I37:I42">H37/$H$8</f>
        <v>0.00942334932881044</v>
      </c>
      <c r="J37" s="96" t="s">
        <v>33</v>
      </c>
      <c r="K37" s="17" t="s">
        <v>69</v>
      </c>
    </row>
    <row r="38" spans="1:11" s="11" customFormat="1" ht="11.25" customHeight="1">
      <c r="A38" s="109" t="s">
        <v>46</v>
      </c>
      <c r="B38" s="26" t="s">
        <v>140</v>
      </c>
      <c r="C38" s="49">
        <v>2</v>
      </c>
      <c r="D38" s="20" t="s">
        <v>14</v>
      </c>
      <c r="E38" s="3">
        <f>G38*0.15</f>
        <v>2.8215</v>
      </c>
      <c r="F38" s="94">
        <f>G38*0.85</f>
        <v>15.988499999999998</v>
      </c>
      <c r="G38" s="3">
        <v>18.81</v>
      </c>
      <c r="H38" s="19">
        <f t="shared" si="6"/>
        <v>37.62</v>
      </c>
      <c r="I38" s="113">
        <f t="shared" si="7"/>
        <v>0.0006532272005709392</v>
      </c>
      <c r="J38" s="96" t="s">
        <v>33</v>
      </c>
      <c r="K38" s="17" t="s">
        <v>97</v>
      </c>
    </row>
    <row r="39" spans="1:11" s="11" customFormat="1" ht="11.25" customHeight="1">
      <c r="A39" s="109" t="s">
        <v>47</v>
      </c>
      <c r="B39" s="31" t="s">
        <v>141</v>
      </c>
      <c r="C39" s="49">
        <v>5</v>
      </c>
      <c r="D39" s="20" t="s">
        <v>14</v>
      </c>
      <c r="E39" s="19">
        <f>G39*0.15</f>
        <v>11.922</v>
      </c>
      <c r="F39" s="239">
        <f>G39*0.85</f>
        <v>67.558</v>
      </c>
      <c r="G39" s="19">
        <v>79.48</v>
      </c>
      <c r="H39" s="19">
        <f t="shared" si="6"/>
        <v>397.40000000000003</v>
      </c>
      <c r="I39" s="113">
        <f t="shared" si="7"/>
        <v>0.006900385154356493</v>
      </c>
      <c r="J39" s="96" t="s">
        <v>33</v>
      </c>
      <c r="K39" s="17" t="s">
        <v>31</v>
      </c>
    </row>
    <row r="40" spans="1:11" s="11" customFormat="1" ht="11.25" customHeight="1">
      <c r="A40" s="109" t="s">
        <v>48</v>
      </c>
      <c r="B40" s="31" t="s">
        <v>144</v>
      </c>
      <c r="C40" s="49">
        <v>1</v>
      </c>
      <c r="D40" s="20" t="s">
        <v>14</v>
      </c>
      <c r="E40" s="19">
        <f>G40*0.15</f>
        <v>16.0185</v>
      </c>
      <c r="F40" s="239">
        <f>G40*0.85</f>
        <v>90.7715</v>
      </c>
      <c r="G40" s="19">
        <v>106.79</v>
      </c>
      <c r="H40" s="19">
        <f t="shared" si="6"/>
        <v>106.79</v>
      </c>
      <c r="I40" s="113">
        <f t="shared" si="7"/>
        <v>0.001854283167170936</v>
      </c>
      <c r="J40" s="96" t="s">
        <v>33</v>
      </c>
      <c r="K40" s="17" t="s">
        <v>147</v>
      </c>
    </row>
    <row r="41" spans="1:11" s="11" customFormat="1" ht="11.25" customHeight="1">
      <c r="A41" s="109" t="s">
        <v>49</v>
      </c>
      <c r="B41" s="31" t="s">
        <v>145</v>
      </c>
      <c r="C41" s="49">
        <v>1</v>
      </c>
      <c r="D41" s="20" t="s">
        <v>14</v>
      </c>
      <c r="E41" s="3">
        <f>G41*0.15</f>
        <v>16.0185</v>
      </c>
      <c r="F41" s="94">
        <f>G41*0.85</f>
        <v>90.7715</v>
      </c>
      <c r="G41" s="19">
        <v>106.79</v>
      </c>
      <c r="H41" s="19">
        <f t="shared" si="6"/>
        <v>106.79</v>
      </c>
      <c r="I41" s="113">
        <f t="shared" si="7"/>
        <v>0.001854283167170936</v>
      </c>
      <c r="J41" s="96" t="s">
        <v>33</v>
      </c>
      <c r="K41" s="17" t="s">
        <v>147</v>
      </c>
    </row>
    <row r="42" spans="1:11" s="11" customFormat="1" ht="12" customHeight="1">
      <c r="A42" s="109" t="s">
        <v>105</v>
      </c>
      <c r="B42" s="31" t="s">
        <v>70</v>
      </c>
      <c r="C42" s="19">
        <v>2</v>
      </c>
      <c r="D42" s="20" t="s">
        <v>14</v>
      </c>
      <c r="E42" s="19">
        <v>28.19</v>
      </c>
      <c r="F42" s="19">
        <v>104.08</v>
      </c>
      <c r="G42" s="19">
        <f>F42+E42</f>
        <v>132.27</v>
      </c>
      <c r="H42" s="19">
        <f t="shared" si="6"/>
        <v>264.54</v>
      </c>
      <c r="I42" s="113">
        <f t="shared" si="7"/>
        <v>0.004593426997316222</v>
      </c>
      <c r="J42" s="96" t="s">
        <v>67</v>
      </c>
      <c r="K42" s="87">
        <v>71455</v>
      </c>
    </row>
    <row r="43" spans="1:11" s="11" customFormat="1" ht="11.25">
      <c r="A43" s="111">
        <v>5</v>
      </c>
      <c r="B43" s="25" t="s">
        <v>19</v>
      </c>
      <c r="C43" s="50"/>
      <c r="D43" s="24"/>
      <c r="E43" s="23"/>
      <c r="F43" s="23"/>
      <c r="G43" s="22"/>
      <c r="H43" s="22"/>
      <c r="I43" s="115"/>
      <c r="J43" s="98"/>
      <c r="K43" s="99"/>
    </row>
    <row r="44" spans="1:11" s="11" customFormat="1" ht="22.5">
      <c r="A44" s="109" t="s">
        <v>50</v>
      </c>
      <c r="B44" s="30" t="s">
        <v>86</v>
      </c>
      <c r="C44" s="49">
        <v>2500</v>
      </c>
      <c r="D44" s="89" t="s">
        <v>1</v>
      </c>
      <c r="E44" s="19">
        <f aca="true" t="shared" si="8" ref="E44:E55">G44*0.15</f>
        <v>0.4065</v>
      </c>
      <c r="F44" s="239">
        <f aca="true" t="shared" si="9" ref="F44:F55">G44*0.85</f>
        <v>2.3035</v>
      </c>
      <c r="G44" s="29">
        <v>2.71</v>
      </c>
      <c r="H44" s="29">
        <f aca="true" t="shared" si="10" ref="H44:H55">G44*C44</f>
        <v>6775</v>
      </c>
      <c r="I44" s="110">
        <f aca="true" t="shared" si="11" ref="I44:I55">H44/$H$8</f>
        <v>0.11763993311717473</v>
      </c>
      <c r="J44" s="96" t="s">
        <v>33</v>
      </c>
      <c r="K44" s="84">
        <v>91926</v>
      </c>
    </row>
    <row r="45" spans="1:11" s="11" customFormat="1" ht="22.5">
      <c r="A45" s="109" t="s">
        <v>51</v>
      </c>
      <c r="B45" s="30" t="s">
        <v>87</v>
      </c>
      <c r="C45" s="49">
        <v>2500</v>
      </c>
      <c r="D45" s="89" t="s">
        <v>1</v>
      </c>
      <c r="E45" s="19">
        <f t="shared" si="8"/>
        <v>0.4065</v>
      </c>
      <c r="F45" s="239">
        <f t="shared" si="9"/>
        <v>2.3035</v>
      </c>
      <c r="G45" s="29">
        <v>2.71</v>
      </c>
      <c r="H45" s="29">
        <f t="shared" si="10"/>
        <v>6775</v>
      </c>
      <c r="I45" s="110">
        <f t="shared" si="11"/>
        <v>0.11763993311717473</v>
      </c>
      <c r="J45" s="96" t="s">
        <v>33</v>
      </c>
      <c r="K45" s="84">
        <v>91926</v>
      </c>
    </row>
    <row r="46" spans="1:11" s="11" customFormat="1" ht="22.5">
      <c r="A46" s="109" t="s">
        <v>52</v>
      </c>
      <c r="B46" s="30" t="s">
        <v>88</v>
      </c>
      <c r="C46" s="49">
        <v>2500</v>
      </c>
      <c r="D46" s="20" t="s">
        <v>1</v>
      </c>
      <c r="E46" s="19">
        <f t="shared" si="8"/>
        <v>0.4065</v>
      </c>
      <c r="F46" s="239">
        <f t="shared" si="9"/>
        <v>2.3035</v>
      </c>
      <c r="G46" s="29">
        <v>2.71</v>
      </c>
      <c r="H46" s="29">
        <f t="shared" si="10"/>
        <v>6775</v>
      </c>
      <c r="I46" s="110">
        <f t="shared" si="11"/>
        <v>0.11763993311717473</v>
      </c>
      <c r="J46" s="96" t="s">
        <v>33</v>
      </c>
      <c r="K46" s="84">
        <v>91926</v>
      </c>
    </row>
    <row r="47" spans="1:11" s="11" customFormat="1" ht="22.5">
      <c r="A47" s="109" t="s">
        <v>53</v>
      </c>
      <c r="B47" s="30" t="s">
        <v>89</v>
      </c>
      <c r="C47" s="49">
        <v>1000</v>
      </c>
      <c r="D47" s="89" t="s">
        <v>1</v>
      </c>
      <c r="E47" s="19">
        <f t="shared" si="8"/>
        <v>0.4065</v>
      </c>
      <c r="F47" s="239">
        <f t="shared" si="9"/>
        <v>2.3035</v>
      </c>
      <c r="G47" s="29">
        <v>2.71</v>
      </c>
      <c r="H47" s="29">
        <f t="shared" si="10"/>
        <v>2710</v>
      </c>
      <c r="I47" s="110">
        <f t="shared" si="11"/>
        <v>0.047055973246869894</v>
      </c>
      <c r="J47" s="96" t="s">
        <v>33</v>
      </c>
      <c r="K47" s="84">
        <v>91926</v>
      </c>
    </row>
    <row r="48" spans="1:11" s="11" customFormat="1" ht="22.5">
      <c r="A48" s="109" t="s">
        <v>54</v>
      </c>
      <c r="B48" s="43" t="s">
        <v>90</v>
      </c>
      <c r="C48" s="54">
        <v>150</v>
      </c>
      <c r="D48" s="40" t="s">
        <v>1</v>
      </c>
      <c r="E48" s="19">
        <f t="shared" si="8"/>
        <v>0.9464999999999999</v>
      </c>
      <c r="F48" s="239">
        <f t="shared" si="9"/>
        <v>5.363499999999999</v>
      </c>
      <c r="G48" s="19">
        <v>6.31</v>
      </c>
      <c r="H48" s="19">
        <f t="shared" si="10"/>
        <v>946.4999999999999</v>
      </c>
      <c r="I48" s="113">
        <f t="shared" si="11"/>
        <v>0.016434862980871715</v>
      </c>
      <c r="J48" s="96" t="s">
        <v>33</v>
      </c>
      <c r="K48" s="72">
        <v>91931</v>
      </c>
    </row>
    <row r="49" spans="1:11" s="11" customFormat="1" ht="22.5">
      <c r="A49" s="109" t="s">
        <v>55</v>
      </c>
      <c r="B49" s="43" t="s">
        <v>91</v>
      </c>
      <c r="C49" s="54">
        <v>150</v>
      </c>
      <c r="D49" s="40" t="s">
        <v>1</v>
      </c>
      <c r="E49" s="19">
        <f t="shared" si="8"/>
        <v>0.9464999999999999</v>
      </c>
      <c r="F49" s="239">
        <f t="shared" si="9"/>
        <v>5.363499999999999</v>
      </c>
      <c r="G49" s="19">
        <v>6.31</v>
      </c>
      <c r="H49" s="19">
        <f t="shared" si="10"/>
        <v>946.4999999999999</v>
      </c>
      <c r="I49" s="113">
        <f t="shared" si="11"/>
        <v>0.016434862980871715</v>
      </c>
      <c r="J49" s="96" t="s">
        <v>33</v>
      </c>
      <c r="K49" s="72">
        <v>91931</v>
      </c>
    </row>
    <row r="50" spans="1:11" s="11" customFormat="1" ht="22.5">
      <c r="A50" s="109" t="s">
        <v>56</v>
      </c>
      <c r="B50" s="43" t="s">
        <v>92</v>
      </c>
      <c r="C50" s="54">
        <v>450</v>
      </c>
      <c r="D50" s="40" t="s">
        <v>1</v>
      </c>
      <c r="E50" s="19">
        <f t="shared" si="8"/>
        <v>0.9464999999999999</v>
      </c>
      <c r="F50" s="239">
        <f t="shared" si="9"/>
        <v>5.363499999999999</v>
      </c>
      <c r="G50" s="19">
        <v>6.31</v>
      </c>
      <c r="H50" s="19">
        <f t="shared" si="10"/>
        <v>2839.5</v>
      </c>
      <c r="I50" s="113">
        <f t="shared" si="11"/>
        <v>0.04930458894261515</v>
      </c>
      <c r="J50" s="96" t="s">
        <v>33</v>
      </c>
      <c r="K50" s="72">
        <v>91931</v>
      </c>
    </row>
    <row r="51" spans="1:11" s="11" customFormat="1" ht="22.5">
      <c r="A51" s="109" t="s">
        <v>57</v>
      </c>
      <c r="B51" s="43" t="s">
        <v>155</v>
      </c>
      <c r="C51" s="54">
        <v>15</v>
      </c>
      <c r="D51" s="40" t="s">
        <v>1</v>
      </c>
      <c r="E51" s="19">
        <f t="shared" si="8"/>
        <v>1.449</v>
      </c>
      <c r="F51" s="239">
        <f t="shared" si="9"/>
        <v>8.211</v>
      </c>
      <c r="G51" s="19">
        <v>9.66</v>
      </c>
      <c r="H51" s="19">
        <f t="shared" si="10"/>
        <v>144.9</v>
      </c>
      <c r="I51" s="113">
        <f t="shared" si="11"/>
        <v>0.0025160186433473976</v>
      </c>
      <c r="J51" s="96" t="s">
        <v>33</v>
      </c>
      <c r="K51" s="72">
        <v>92982</v>
      </c>
    </row>
    <row r="52" spans="1:11" s="11" customFormat="1" ht="22.5">
      <c r="A52" s="109" t="s">
        <v>58</v>
      </c>
      <c r="B52" s="43" t="s">
        <v>154</v>
      </c>
      <c r="C52" s="54">
        <v>45</v>
      </c>
      <c r="D52" s="40" t="s">
        <v>1</v>
      </c>
      <c r="E52" s="19">
        <f t="shared" si="8"/>
        <v>1.449</v>
      </c>
      <c r="F52" s="239">
        <f t="shared" si="9"/>
        <v>8.211</v>
      </c>
      <c r="G52" s="19">
        <v>9.66</v>
      </c>
      <c r="H52" s="19">
        <f t="shared" si="10"/>
        <v>434.7</v>
      </c>
      <c r="I52" s="113">
        <f t="shared" si="11"/>
        <v>0.007548055930042192</v>
      </c>
      <c r="J52" s="96" t="s">
        <v>33</v>
      </c>
      <c r="K52" s="72">
        <v>92982</v>
      </c>
    </row>
    <row r="53" spans="1:11" s="11" customFormat="1" ht="22.5">
      <c r="A53" s="109" t="s">
        <v>27</v>
      </c>
      <c r="B53" s="43" t="s">
        <v>153</v>
      </c>
      <c r="C53" s="54">
        <v>30</v>
      </c>
      <c r="D53" s="40" t="s">
        <v>1</v>
      </c>
      <c r="E53" s="3">
        <f t="shared" si="8"/>
        <v>1.449</v>
      </c>
      <c r="F53" s="94">
        <f t="shared" si="9"/>
        <v>8.211</v>
      </c>
      <c r="G53" s="19">
        <v>9.66</v>
      </c>
      <c r="H53" s="19">
        <f t="shared" si="10"/>
        <v>289.8</v>
      </c>
      <c r="I53" s="113">
        <f t="shared" si="11"/>
        <v>0.005032037286694795</v>
      </c>
      <c r="J53" s="96" t="s">
        <v>33</v>
      </c>
      <c r="K53" s="72">
        <v>92982</v>
      </c>
    </row>
    <row r="54" spans="1:11" s="11" customFormat="1" ht="22.5">
      <c r="A54" s="109" t="s">
        <v>30</v>
      </c>
      <c r="B54" s="43" t="s">
        <v>157</v>
      </c>
      <c r="C54" s="54">
        <v>15</v>
      </c>
      <c r="D54" s="40" t="s">
        <v>1</v>
      </c>
      <c r="E54" s="3">
        <f t="shared" si="8"/>
        <v>2.4164999999999996</v>
      </c>
      <c r="F54" s="94">
        <f t="shared" si="9"/>
        <v>13.693499999999998</v>
      </c>
      <c r="G54" s="19">
        <v>16.11</v>
      </c>
      <c r="H54" s="19">
        <f t="shared" si="10"/>
        <v>241.64999999999998</v>
      </c>
      <c r="I54" s="113">
        <f t="shared" si="11"/>
        <v>0.004195968979743951</v>
      </c>
      <c r="J54" s="96" t="s">
        <v>33</v>
      </c>
      <c r="K54" s="72">
        <v>92984</v>
      </c>
    </row>
    <row r="55" spans="1:11" s="11" customFormat="1" ht="22.5">
      <c r="A55" s="109" t="s">
        <v>29</v>
      </c>
      <c r="B55" s="43" t="s">
        <v>156</v>
      </c>
      <c r="C55" s="54">
        <v>45</v>
      </c>
      <c r="D55" s="40" t="s">
        <v>1</v>
      </c>
      <c r="E55" s="3">
        <f t="shared" si="8"/>
        <v>2.4164999999999996</v>
      </c>
      <c r="F55" s="94">
        <f t="shared" si="9"/>
        <v>13.693499999999998</v>
      </c>
      <c r="G55" s="19">
        <v>16.11</v>
      </c>
      <c r="H55" s="19">
        <f t="shared" si="10"/>
        <v>724.9499999999999</v>
      </c>
      <c r="I55" s="113">
        <f t="shared" si="11"/>
        <v>0.012587906939231855</v>
      </c>
      <c r="J55" s="96" t="s">
        <v>33</v>
      </c>
      <c r="K55" s="72">
        <v>92984</v>
      </c>
    </row>
    <row r="56" spans="1:11" s="11" customFormat="1" ht="11.25">
      <c r="A56" s="111">
        <v>6</v>
      </c>
      <c r="B56" s="25" t="s">
        <v>21</v>
      </c>
      <c r="C56" s="50"/>
      <c r="D56" s="28"/>
      <c r="E56" s="27"/>
      <c r="F56" s="27"/>
      <c r="G56" s="22"/>
      <c r="H56" s="22"/>
      <c r="I56" s="112"/>
      <c r="J56" s="98"/>
      <c r="K56" s="99"/>
    </row>
    <row r="57" spans="1:11" s="11" customFormat="1" ht="11.25">
      <c r="A57" s="109" t="s">
        <v>59</v>
      </c>
      <c r="B57" s="88" t="s">
        <v>82</v>
      </c>
      <c r="C57" s="49">
        <v>8</v>
      </c>
      <c r="D57" s="20" t="s">
        <v>14</v>
      </c>
      <c r="E57" s="19">
        <f>G57*0.15</f>
        <v>2.9295</v>
      </c>
      <c r="F57" s="239">
        <f>G57*0.85</f>
        <v>16.6005</v>
      </c>
      <c r="G57" s="19">
        <v>19.53</v>
      </c>
      <c r="H57" s="19">
        <f>G57*C57</f>
        <v>156.24</v>
      </c>
      <c r="I57" s="113">
        <f>H57/$H$8</f>
        <v>0.0027129244502180636</v>
      </c>
      <c r="J57" s="96" t="s">
        <v>33</v>
      </c>
      <c r="K57" s="87">
        <v>91953</v>
      </c>
    </row>
    <row r="58" spans="1:11" s="11" customFormat="1" ht="11.25" customHeight="1">
      <c r="A58" s="109" t="s">
        <v>106</v>
      </c>
      <c r="B58" s="88" t="s">
        <v>94</v>
      </c>
      <c r="C58" s="49">
        <v>12</v>
      </c>
      <c r="D58" s="20" t="s">
        <v>14</v>
      </c>
      <c r="E58" s="19">
        <f>G58*0.15</f>
        <v>4.672499999999999</v>
      </c>
      <c r="F58" s="239">
        <f>G58*0.85</f>
        <v>26.4775</v>
      </c>
      <c r="G58" s="19">
        <v>31.15</v>
      </c>
      <c r="H58" s="19">
        <v>29.67</v>
      </c>
      <c r="I58" s="113">
        <f>H58/$H$8</f>
        <v>0.0005151847698282767</v>
      </c>
      <c r="J58" s="96" t="s">
        <v>33</v>
      </c>
      <c r="K58" s="87">
        <v>91959</v>
      </c>
    </row>
    <row r="59" spans="1:11" s="11" customFormat="1" ht="12" customHeight="1">
      <c r="A59" s="109" t="s">
        <v>121</v>
      </c>
      <c r="B59" s="21" t="s">
        <v>128</v>
      </c>
      <c r="C59" s="49">
        <v>2</v>
      </c>
      <c r="D59" s="20" t="s">
        <v>14</v>
      </c>
      <c r="E59" s="19">
        <f>G59*0.15</f>
        <v>3.6914999999999996</v>
      </c>
      <c r="F59" s="239">
        <f>G59*0.85</f>
        <v>20.918499999999998</v>
      </c>
      <c r="G59" s="19">
        <v>24.61</v>
      </c>
      <c r="H59" s="19">
        <f>G59*C59</f>
        <v>49.22</v>
      </c>
      <c r="I59" s="113">
        <f>H59/$H$8</f>
        <v>0.000854647602660862</v>
      </c>
      <c r="J59" s="96" t="s">
        <v>33</v>
      </c>
      <c r="K59" s="87">
        <v>91955</v>
      </c>
    </row>
    <row r="60" spans="1:11" s="11" customFormat="1" ht="11.25">
      <c r="A60" s="111">
        <v>7</v>
      </c>
      <c r="B60" s="25" t="s">
        <v>17</v>
      </c>
      <c r="C60" s="50"/>
      <c r="D60" s="24"/>
      <c r="E60" s="23"/>
      <c r="F60" s="23"/>
      <c r="G60" s="22"/>
      <c r="H60" s="22"/>
      <c r="I60" s="112"/>
      <c r="J60" s="98"/>
      <c r="K60" s="98"/>
    </row>
    <row r="61" spans="1:11" s="11" customFormat="1" ht="45">
      <c r="A61" s="109" t="s">
        <v>60</v>
      </c>
      <c r="B61" s="21" t="s">
        <v>174</v>
      </c>
      <c r="C61" s="234">
        <v>1</v>
      </c>
      <c r="D61" s="20" t="s">
        <v>14</v>
      </c>
      <c r="E61" s="236">
        <f>G61*0.3</f>
        <v>12.564</v>
      </c>
      <c r="F61" s="236">
        <f>0.7*G61</f>
        <v>29.316</v>
      </c>
      <c r="G61" s="19">
        <v>41.88</v>
      </c>
      <c r="H61" s="18">
        <f>G61*C61</f>
        <v>41.88</v>
      </c>
      <c r="I61" s="113">
        <f>H61/$H$8</f>
        <v>0.0007271971068556868</v>
      </c>
      <c r="J61" s="310" t="s">
        <v>66</v>
      </c>
      <c r="K61" s="311"/>
    </row>
    <row r="62" spans="1:11" ht="12.75">
      <c r="A62" s="109" t="s">
        <v>61</v>
      </c>
      <c r="B62" s="42" t="s">
        <v>22</v>
      </c>
      <c r="C62" s="41">
        <v>12</v>
      </c>
      <c r="D62" s="40" t="s">
        <v>14</v>
      </c>
      <c r="E62" s="19">
        <f>0.1765*F62</f>
        <v>7.042349999999999</v>
      </c>
      <c r="F62" s="29">
        <v>39.9</v>
      </c>
      <c r="G62" s="19">
        <f>F62+E62</f>
        <v>46.94235</v>
      </c>
      <c r="H62" s="19">
        <f>G62*C62</f>
        <v>563.3081999999999</v>
      </c>
      <c r="I62" s="113">
        <f>H62/$H$8</f>
        <v>0.009781186564185399</v>
      </c>
      <c r="J62" s="310" t="s">
        <v>66</v>
      </c>
      <c r="K62" s="311"/>
    </row>
    <row r="63" spans="1:9" ht="12.75">
      <c r="A63" s="312" t="s">
        <v>3</v>
      </c>
      <c r="B63" s="279"/>
      <c r="C63" s="279"/>
      <c r="D63" s="279"/>
      <c r="E63" s="279"/>
      <c r="F63" s="279"/>
      <c r="G63" s="280"/>
      <c r="H63" s="16">
        <f>SUM(H10:H62)</f>
        <v>57590.98820000001</v>
      </c>
      <c r="I63" s="116">
        <f>SUM(I10:I62)</f>
        <v>0.9999999999999997</v>
      </c>
    </row>
    <row r="64" spans="1:9" ht="12.75">
      <c r="A64" s="312" t="s">
        <v>36</v>
      </c>
      <c r="B64" s="279"/>
      <c r="C64" s="279"/>
      <c r="D64" s="279"/>
      <c r="E64" s="279"/>
      <c r="F64" s="279"/>
      <c r="G64" s="280"/>
      <c r="H64" s="16">
        <f>H63*0.22</f>
        <v>12670.017404000002</v>
      </c>
      <c r="I64" s="117">
        <v>0.22</v>
      </c>
    </row>
    <row r="65" spans="1:9" ht="13.5" thickBot="1">
      <c r="A65" s="313" t="s">
        <v>4</v>
      </c>
      <c r="B65" s="314"/>
      <c r="C65" s="314"/>
      <c r="D65" s="314"/>
      <c r="E65" s="314"/>
      <c r="F65" s="314"/>
      <c r="G65" s="315"/>
      <c r="H65" s="118">
        <f>H63+H64</f>
        <v>70261.005604</v>
      </c>
      <c r="I65" s="119"/>
    </row>
    <row r="66" spans="1:9" ht="12.75">
      <c r="A66" s="15"/>
      <c r="B66" s="13"/>
      <c r="C66" s="12"/>
      <c r="D66" s="11"/>
      <c r="E66" s="11"/>
      <c r="F66" s="11"/>
      <c r="G66" s="11"/>
      <c r="H66" s="11"/>
      <c r="I66" s="11"/>
    </row>
    <row r="67" spans="1:9" ht="12.75">
      <c r="A67" s="14"/>
      <c r="B67" s="13"/>
      <c r="C67" s="12"/>
      <c r="D67" s="11"/>
      <c r="E67" s="11"/>
      <c r="F67" s="11"/>
      <c r="G67" s="11"/>
      <c r="H67" s="11"/>
      <c r="I67" s="11"/>
    </row>
    <row r="68" spans="1:9" ht="12.75">
      <c r="A68" s="14"/>
      <c r="B68" s="13"/>
      <c r="C68" s="12"/>
      <c r="D68" s="11"/>
      <c r="E68" s="11"/>
      <c r="F68" s="11"/>
      <c r="G68" s="11"/>
      <c r="H68" s="11"/>
      <c r="I68" s="11"/>
    </row>
  </sheetData>
  <sheetProtection/>
  <mergeCells count="18">
    <mergeCell ref="C1:I1"/>
    <mergeCell ref="C2:I2"/>
    <mergeCell ref="D3:E3"/>
    <mergeCell ref="C4:E4"/>
    <mergeCell ref="G4:I4"/>
    <mergeCell ref="A6:I6"/>
    <mergeCell ref="J29:K29"/>
    <mergeCell ref="J30:K30"/>
    <mergeCell ref="J31:K31"/>
    <mergeCell ref="J32:K32"/>
    <mergeCell ref="J33:K33"/>
    <mergeCell ref="J34:K34"/>
    <mergeCell ref="A65:G65"/>
    <mergeCell ref="J35:K35"/>
    <mergeCell ref="J61:K61"/>
    <mergeCell ref="J62:K62"/>
    <mergeCell ref="A63:G63"/>
    <mergeCell ref="A64:G64"/>
  </mergeCells>
  <printOptions horizontalCentered="1" verticalCentered="1"/>
  <pageMargins left="0.5118110236220472" right="0.5118110236220472" top="0.7874015748031497" bottom="1.9291338582677167" header="0.31496062992125984" footer="0.31496062992125984"/>
  <pageSetup horizontalDpi="600" verticalDpi="600" orientation="landscape" paperSize="9" scale="85" r:id="rId2"/>
  <headerFooter>
    <oddFooter>&amp;L&amp;A
Páginas ( &amp;P/&amp;N)&amp;R________________________
Fernando Melo Franco
Engº Eletricista CREA 11.179/D-GO
G5 ENGENHARIA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FUNDACAO DE APOIO A PESQUISA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FUNDACAO DE APOIO A PESQUISA</dc:creator>
  <cp:keywords/>
  <dc:description/>
  <cp:lastModifiedBy>Home</cp:lastModifiedBy>
  <cp:lastPrinted>2014-11-20T17:51:29Z</cp:lastPrinted>
  <dcterms:created xsi:type="dcterms:W3CDTF">2000-11-27T12:10:10Z</dcterms:created>
  <dcterms:modified xsi:type="dcterms:W3CDTF">2016-06-30T19:17:56Z</dcterms:modified>
  <cp:category/>
  <cp:version/>
  <cp:contentType/>
  <cp:contentStatus/>
</cp:coreProperties>
</file>