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446" windowWidth="13500" windowHeight="11340" tabRatio="757" activeTab="4"/>
  </bookViews>
  <sheets>
    <sheet name="CAPA" sheetId="1" r:id="rId1"/>
    <sheet name="DECLARAÇÃO" sheetId="2" r:id="rId2"/>
    <sheet name="DOCUMENTAÇÃO PARA ORÇAMENTO" sheetId="3" r:id="rId3"/>
    <sheet name="BDI" sheetId="4" r:id="rId4"/>
    <sheet name="ORÇAMENTO" sheetId="5" r:id="rId5"/>
    <sheet name="CRONOGRAMA" sheetId="6" r:id="rId6"/>
  </sheets>
  <externalReferences>
    <externalReference r:id="rId9"/>
  </externalReferences>
  <definedNames>
    <definedName name="_xlnm.Print_Area" localSheetId="4">'ORÇAMENTO'!$A$1:$K$643</definedName>
    <definedName name="_xlnm.Print_Titles" localSheetId="4">'ORÇAMENTO'!$1:$7</definedName>
  </definedNames>
  <calcPr fullCalcOnLoad="1"/>
</workbook>
</file>

<file path=xl/sharedStrings.xml><?xml version="1.0" encoding="utf-8"?>
<sst xmlns="http://schemas.openxmlformats.org/spreadsheetml/2006/main" count="2522" uniqueCount="1219">
  <si>
    <t>SINAPI - INSUMOS</t>
  </si>
  <si>
    <t>00004069</t>
  </si>
  <si>
    <t>16.2</t>
  </si>
  <si>
    <t>INSTALAÇÕES ELÉTRICAS/ CABEAMENTO ESTRUTURADO, SPDA, AR CONDICIONADO/ SOM/ ALARME/ VÍDEO E DETECÇÃO DE FUMAÇA</t>
  </si>
  <si>
    <t>6.2.1</t>
  </si>
  <si>
    <t>6.2.2</t>
  </si>
  <si>
    <t>18.4</t>
  </si>
  <si>
    <t>9.1</t>
  </si>
  <si>
    <t>18.2</t>
  </si>
  <si>
    <t>18.5</t>
  </si>
  <si>
    <t>18.6</t>
  </si>
  <si>
    <t>7.2</t>
  </si>
  <si>
    <t>7.3</t>
  </si>
  <si>
    <t>PLANILHA ORÇAMENTÁRIA, CRONOGRAMA FISICO FINANCEIRO</t>
  </si>
  <si>
    <t>E COMPOSIÇÃO DE CUSTOS UNITARIOS</t>
  </si>
  <si>
    <t>CREA-GO 14.273/D</t>
  </si>
  <si>
    <t>ENGENHEIRO CIVIL</t>
  </si>
  <si>
    <t>MÁRIO RICARDO QUEIROZ E SILVA</t>
  </si>
  <si>
    <t>___________________________________________</t>
  </si>
  <si>
    <t>Os demais projetos complementares foram orçados a partir da elaboração de estimativas.</t>
  </si>
  <si>
    <t>os seguintes documentos:</t>
  </si>
  <si>
    <t>DOCUMENTAÇÃO PARA ORÇAMENTO</t>
  </si>
  <si>
    <t>Projeto Cab. Estruturado</t>
  </si>
  <si>
    <t>Projeto Hidrossanitário</t>
  </si>
  <si>
    <t>Projeto Elétrico</t>
  </si>
  <si>
    <t>Projeto de SPDA</t>
  </si>
  <si>
    <t>COMPOSIÇÃO DO BDI</t>
  </si>
  <si>
    <t>REFERÊNCIA</t>
  </si>
  <si>
    <t>DECLARAÇÃO DE CONFORMIDADE</t>
  </si>
  <si>
    <t>CÓDIGO</t>
  </si>
  <si>
    <t>SINAPI</t>
  </si>
  <si>
    <t>AGETOP</t>
  </si>
  <si>
    <t>030105</t>
  </si>
  <si>
    <t xml:space="preserve">SINAPI </t>
  </si>
  <si>
    <t>00002706</t>
  </si>
  <si>
    <t>9537</t>
  </si>
  <si>
    <t>2.2</t>
  </si>
  <si>
    <t>020400</t>
  </si>
  <si>
    <t>2.3</t>
  </si>
  <si>
    <t>CREA</t>
  </si>
  <si>
    <t>ANOTAÇÃO DE RESPONSABILIDADE TÉCNICA (ENGENHEIRO CIVIL, ENGENHEIRO ELETRICISTA, ENGENHEIRO MECÂNICO)</t>
  </si>
  <si>
    <t>LIGACAO PROVISORIA AGUA</t>
  </si>
  <si>
    <t>4.2</t>
  </si>
  <si>
    <t>060104</t>
  </si>
  <si>
    <t>4.3</t>
  </si>
  <si>
    <t>060105</t>
  </si>
  <si>
    <t>COTAÇÃO</t>
  </si>
  <si>
    <t>16.1</t>
  </si>
  <si>
    <t>20.1</t>
  </si>
  <si>
    <t>INSTALAÇÕES ELÉTRICAS</t>
  </si>
  <si>
    <t>Data:</t>
  </si>
  <si>
    <t>Valor por (R$/m²):</t>
  </si>
  <si>
    <t xml:space="preserve">Processo: </t>
  </si>
  <si>
    <t>ITEM</t>
  </si>
  <si>
    <t>DESCRIÇÃO</t>
  </si>
  <si>
    <t>QUANT.</t>
  </si>
  <si>
    <t>UN.</t>
  </si>
  <si>
    <t>R$ M.D.O.</t>
  </si>
  <si>
    <t>R$ MATERIAL</t>
  </si>
  <si>
    <t>R$ SERVIÇO</t>
  </si>
  <si>
    <t>R$ TOTAL</t>
  </si>
  <si>
    <t>%</t>
  </si>
  <si>
    <t>1.1</t>
  </si>
  <si>
    <t>M²</t>
  </si>
  <si>
    <t>1.2</t>
  </si>
  <si>
    <t>UN</t>
  </si>
  <si>
    <t>MOVIMENTO DE TERRA</t>
  </si>
  <si>
    <t>M³</t>
  </si>
  <si>
    <t>SERVIÇOS GERAIS INTERNOS</t>
  </si>
  <si>
    <t>INFRA-ESTRUTURA</t>
  </si>
  <si>
    <t>M</t>
  </si>
  <si>
    <t>KG</t>
  </si>
  <si>
    <t>SUPERESTRUTURA</t>
  </si>
  <si>
    <t>6.1</t>
  </si>
  <si>
    <t>6.2</t>
  </si>
  <si>
    <t>ESTRUTURA METÁLICA</t>
  </si>
  <si>
    <t>PAREDES E PAINÉIS</t>
  </si>
  <si>
    <t>PAVIMENTAÇÃO / URBANIZAÇÃO</t>
  </si>
  <si>
    <t>21.1</t>
  </si>
  <si>
    <t>21.2</t>
  </si>
  <si>
    <t>ESQUADRIAS</t>
  </si>
  <si>
    <t>15.3</t>
  </si>
  <si>
    <t>INSTALAÇÕES DE ESGOTO / ÁGUAS PLUVIAIS</t>
  </si>
  <si>
    <t>PINTURA</t>
  </si>
  <si>
    <t>INSTALAÇÕES HIDRO-SANITÁRIAS</t>
  </si>
  <si>
    <t>LIMPEZA</t>
  </si>
  <si>
    <t>ADMINISTRAÇÃO DA OBRA</t>
  </si>
  <si>
    <t>CUSTO DA OBRA</t>
  </si>
  <si>
    <t>CUSTO TOTAL DA OBRA</t>
  </si>
  <si>
    <t>OBSERVAÇÕES:</t>
  </si>
  <si>
    <t>Este orçamento é meramente informativo. A relação dos serviços, assim como seus quantitativos e composições, é de inteira responsabilidade da empresa Contratada. O mesmo se aplica ao BDI.</t>
  </si>
  <si>
    <t>8.1</t>
  </si>
  <si>
    <t>VIDROS</t>
  </si>
  <si>
    <t>COBERTURA</t>
  </si>
  <si>
    <t>IMPERMEABILIZAÇÃO</t>
  </si>
  <si>
    <t>REVESTIMENTOS DE FORROS</t>
  </si>
  <si>
    <t>REVESTIMENTOS DE PAREDES INTERNAS/ EXTERNAS</t>
  </si>
  <si>
    <t>15.1</t>
  </si>
  <si>
    <t>15.2</t>
  </si>
  <si>
    <t>PISOS</t>
  </si>
  <si>
    <t>DIVERSOS</t>
  </si>
  <si>
    <t>Unid.</t>
  </si>
  <si>
    <t>20.2</t>
  </si>
  <si>
    <t>4.1</t>
  </si>
  <si>
    <t>ESTRUTURA DE CONCRETO (PILARES, VIGAS E LAJES)</t>
  </si>
  <si>
    <t>MÊS</t>
  </si>
  <si>
    <t xml:space="preserve">As marcas constantes nesta planilha e no caderno de especificações são referências dos materiais especificados e que devem ser empregados na obra. Poderão ser utilizados materiais de marcas diferentes, desde que esses materiais sejam equivalentes aos descritos acima, quanto à qualidade, linha de fabricação e características. </t>
  </si>
  <si>
    <t xml:space="preserve">Este orçamento levou em consideração as leis sociais.  </t>
  </si>
  <si>
    <t>18.1</t>
  </si>
  <si>
    <t>SERVIÇOS INICIAIS/ DESPESAS GERAIS</t>
  </si>
  <si>
    <t>INSTALAÇÃO DO CANTEIRO/ DEMOLIÇÃO</t>
  </si>
  <si>
    <t>12.2</t>
  </si>
  <si>
    <t>7.1</t>
  </si>
  <si>
    <t>INSTALAÇÕES TELEFONICAS E CABEAMENTO ESTRUTURADO</t>
  </si>
  <si>
    <t>2.1</t>
  </si>
  <si>
    <t>17.1</t>
  </si>
  <si>
    <t>18.3</t>
  </si>
  <si>
    <t>10.1</t>
  </si>
  <si>
    <t>17.4</t>
  </si>
  <si>
    <t>10.2</t>
  </si>
  <si>
    <t>11.1</t>
  </si>
  <si>
    <t>12.1</t>
  </si>
  <si>
    <t>12.3</t>
  </si>
  <si>
    <t>17.2</t>
  </si>
  <si>
    <t>17.3</t>
  </si>
  <si>
    <t>17.5</t>
  </si>
  <si>
    <t>19.1</t>
  </si>
  <si>
    <t>Unidade:</t>
  </si>
  <si>
    <t>Endereço:</t>
  </si>
  <si>
    <t>Área (M²):</t>
  </si>
  <si>
    <t xml:space="preserve">R$ TOTAL </t>
  </si>
  <si>
    <t>1º MÊS</t>
  </si>
  <si>
    <t>2º MÊS</t>
  </si>
  <si>
    <t>3º MÊS</t>
  </si>
  <si>
    <t>4º MÊS</t>
  </si>
  <si>
    <t>5º MÊS</t>
  </si>
  <si>
    <t>6º MÊS</t>
  </si>
  <si>
    <t>INSTALAÇÃO DO CANTEIRO / DEMOLIÇÃO</t>
  </si>
  <si>
    <t>INSTALAÇÕES ELÉTRICAS/ CABEAMENTO ESTRUTURADO, CFTV, SPDA, SOM/ VÍDEO E DETECÇÃO DE FUMAÇA</t>
  </si>
  <si>
    <t>MEDIÇÃO ACUMULADA</t>
  </si>
  <si>
    <t>___________________________</t>
  </si>
  <si>
    <t>Mário Ricardo Queiroz e Silva</t>
  </si>
  <si>
    <t>Engenheiro Civil e Técnico em Edificações</t>
  </si>
  <si>
    <t>CONFEA/CREA 14.273/D-GO</t>
  </si>
  <si>
    <t>150103</t>
  </si>
  <si>
    <t>Área (m²):</t>
  </si>
  <si>
    <t>TRANSP. DE ENTULHO EM CAÇAMBA ESTACIONARIA COM CARGA</t>
  </si>
  <si>
    <t/>
  </si>
  <si>
    <t>Os preços dos serviços SINAPI já contemplam a mão de obra de aplicação.</t>
  </si>
  <si>
    <t>PLACA DA OBRA</t>
  </si>
  <si>
    <t>10.3</t>
  </si>
  <si>
    <t>ENGENHEIROS - CONSIDERANDO 176 HORAS MENSAIS</t>
  </si>
  <si>
    <t>LIMPEZA FINAL DE OBRA</t>
  </si>
  <si>
    <t>UND</t>
  </si>
  <si>
    <t>CONTRUÇÃO DE EDIFÍCIOS</t>
  </si>
  <si>
    <t>Administração central</t>
  </si>
  <si>
    <t>AC</t>
  </si>
  <si>
    <t xml:space="preserve">Custos financeiros </t>
  </si>
  <si>
    <t>CF</t>
  </si>
  <si>
    <t>Riscos, Seguros e Garantias</t>
  </si>
  <si>
    <t>R</t>
  </si>
  <si>
    <t>Lucro operacional</t>
  </si>
  <si>
    <t>L</t>
  </si>
  <si>
    <t>PIS</t>
  </si>
  <si>
    <t>T</t>
  </si>
  <si>
    <t>COFINS</t>
  </si>
  <si>
    <t>ISSQN</t>
  </si>
  <si>
    <r>
      <rPr>
        <vertAlign val="superscript"/>
        <sz val="8"/>
        <color indexed="8"/>
        <rFont val="Arial"/>
        <family val="2"/>
      </rPr>
      <t>(*)</t>
    </r>
    <r>
      <rPr>
        <sz val="8"/>
        <color indexed="8"/>
        <rFont val="Arial"/>
        <family val="2"/>
      </rPr>
      <t xml:space="preserve"> ESTA COMPOSIÇÃO DO BDI SEGUE AS ORIENTAÇÕES DO ACÓRDÃO 2622/2013 DO TCU.</t>
    </r>
  </si>
  <si>
    <t>BDI =</t>
  </si>
  <si>
    <t>((((1+AC)*(1+CF)*(1+R)*(1+L))/(1-(T)))-1)</t>
  </si>
  <si>
    <t>00000253</t>
  </si>
  <si>
    <t>00006122</t>
  </si>
  <si>
    <t>PINTURA ESMALTE BRILHANTE 2 DEMÃOS SOBRE SUPERFICIE METÁLICA, INCLUSIVE PROTEÇÃO COM ZARCÃO 1 DEMÃO</t>
  </si>
  <si>
    <t>INSTITUTO FEDERAL DE EDUCAÇÃO, CIÊNCIA E TECNOLOGIA DE GOIÁS</t>
  </si>
  <si>
    <t>Diretoria de Projetos e Infraestrutura</t>
  </si>
  <si>
    <t>74209/001</t>
  </si>
  <si>
    <t>21.3</t>
  </si>
  <si>
    <t>21.4</t>
  </si>
  <si>
    <t>00006111</t>
  </si>
  <si>
    <t>CIÊNCIA E TECNOLOGIA DE GOIÁS</t>
  </si>
  <si>
    <t>INSTITUTO FEDERAL DE EDUCAÇÃO,</t>
  </si>
  <si>
    <t>Para a elaboração deste orçamento e seus anexos, foram encaminhados pelo IFG-GO</t>
  </si>
  <si>
    <t>ITEM NÃO PREVISTO - MOVIMENTAÇÃO DE TERRENO JÁ REALIZADA</t>
  </si>
  <si>
    <t>ITEM JÁ EXECUTADO</t>
  </si>
  <si>
    <t>Endereço: IFG</t>
  </si>
  <si>
    <t>TÉRMINO DE CONSTRUÇÃO</t>
  </si>
  <si>
    <t>Engenheiro Civil Mário Ricardo Queiroz e Silva</t>
  </si>
  <si>
    <t>Projeto de alarme</t>
  </si>
  <si>
    <t>Engenheiro Eletricista Fernando Melo Franco</t>
  </si>
  <si>
    <t>19.2</t>
  </si>
  <si>
    <t>19.3</t>
  </si>
  <si>
    <t>19.4</t>
  </si>
  <si>
    <t>19.5</t>
  </si>
  <si>
    <t>19.6</t>
  </si>
  <si>
    <t>m</t>
  </si>
  <si>
    <t>un</t>
  </si>
  <si>
    <t>73795/013</t>
  </si>
  <si>
    <t>IFG</t>
  </si>
  <si>
    <t>19.7</t>
  </si>
  <si>
    <t>COBERTURA - VERIFICAR IMPERMEABILIZAÇÃO NO RESPECTIVO ITEM</t>
  </si>
  <si>
    <t>CRONOGRAMA</t>
  </si>
  <si>
    <t>SINAPI ADAPTADA</t>
  </si>
  <si>
    <t>19.8</t>
  </si>
  <si>
    <t>19.9</t>
  </si>
  <si>
    <t>19.10</t>
  </si>
  <si>
    <t>19.11</t>
  </si>
  <si>
    <t>73892/002</t>
  </si>
  <si>
    <t>m²</t>
  </si>
  <si>
    <t>15.2.1</t>
  </si>
  <si>
    <t>15.2.2</t>
  </si>
  <si>
    <t>15.2.3</t>
  </si>
  <si>
    <t>15.2.4</t>
  </si>
  <si>
    <t>15.2.5</t>
  </si>
  <si>
    <t>15.2.6</t>
  </si>
  <si>
    <t>15.2.7</t>
  </si>
  <si>
    <t>15.2.8</t>
  </si>
  <si>
    <t>15.2.9</t>
  </si>
  <si>
    <t>15.3.1</t>
  </si>
  <si>
    <t>15.3.2</t>
  </si>
  <si>
    <t>15.3.3</t>
  </si>
  <si>
    <t>15.3.4</t>
  </si>
  <si>
    <t>15.3.5</t>
  </si>
  <si>
    <t>15.3.6</t>
  </si>
  <si>
    <t>15.3.7</t>
  </si>
  <si>
    <t>15.3.8</t>
  </si>
  <si>
    <t>15.3.9</t>
  </si>
  <si>
    <t>15.3.10</t>
  </si>
  <si>
    <t>15.3.11</t>
  </si>
  <si>
    <t>15.3.12</t>
  </si>
  <si>
    <t>15.3.13</t>
  </si>
  <si>
    <t>15.3.14</t>
  </si>
  <si>
    <t>15.3.15</t>
  </si>
  <si>
    <t>15.3.16</t>
  </si>
  <si>
    <t>15.3.17</t>
  </si>
  <si>
    <t>15.3.18</t>
  </si>
  <si>
    <t>15.3.19</t>
  </si>
  <si>
    <t>15.3.20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</si>
  <si>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</si>
  <si>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</si>
  <si>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</si>
  <si>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</si>
  <si>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</si>
  <si>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</si>
  <si>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</si>
  <si>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</si>
  <si>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</si>
  <si>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</si>
  <si>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</si>
  <si>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</si>
  <si>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</si>
  <si>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</si>
  <si>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</si>
  <si>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</si>
  <si>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</si>
  <si>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</si>
  <si>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</si>
  <si>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</si>
  <si>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15.1.21</t>
  </si>
  <si>
    <t>15.1.22</t>
  </si>
  <si>
    <t>15.1.23</t>
  </si>
  <si>
    <t>15.1.24</t>
  </si>
  <si>
    <t>15.1.25</t>
  </si>
  <si>
    <t>15.1.26</t>
  </si>
  <si>
    <t>15.1.27</t>
  </si>
  <si>
    <t>15.1.28</t>
  </si>
  <si>
    <t>15.1.29</t>
  </si>
  <si>
    <t>15.1.30</t>
  </si>
  <si>
    <t>15.1.31</t>
  </si>
  <si>
    <t>15.1.32</t>
  </si>
  <si>
    <t>15.1.33</t>
  </si>
  <si>
    <t>15.1.34</t>
  </si>
  <si>
    <t>15.1.35</t>
  </si>
  <si>
    <t>15.1.36</t>
  </si>
  <si>
    <t>15.1.37</t>
  </si>
  <si>
    <t>CAMPUS ÁGUAS LINDAS</t>
  </si>
  <si>
    <t>Unidade: ÁGUAS LINDAS - 2ª ETAPA</t>
  </si>
  <si>
    <t>PLANILHA ORÇAMENTÁRIA - ÁGUAS LINDAS - 2ª ETAPA</t>
  </si>
  <si>
    <t xml:space="preserve">PLANTIO DE GRAMA ESMERALDA EM ROLO </t>
  </si>
  <si>
    <t>EXECUÇÃO DE PASSEIO (CALÇADA) EM CONCRETO 12 MPA, TRAÇO 1:3:5 (CIMENTO/AREIA/BRITA), PREPARO MECÂNICO, ESPESSURA 7CM, COM JUNTA DE DILATAÇÃO EM MADEIRA, INCLUSO LANÇAMENTO E ADENSAMENTO</t>
  </si>
  <si>
    <t xml:space="preserve"> PINTURA ESMALTE FOSCO, DUAS DEMAOS, SOBRE SUPERFICIE METALICA, INCLUSO UMA DEMAO DE FUNDO ANTICORROSIVO. UTILIZACAO DE REVOLVER ( AR-COMPRIMIDO)</t>
  </si>
  <si>
    <t>74145/001</t>
  </si>
  <si>
    <t>MEIO-FIO (GUIA) DE CONCRETO PRE-MOLDADO, DIMENSÕES 12X15X30X100CM (FACE SUPERIORXFACE INFERIORXALTURAXCOMPRIMENTO),REJUNTADO C/ARGAMASSA 1:4 CIMENTO:AREIA, INCLUINDO ESCAVAÇÃO E REATERRO</t>
  </si>
  <si>
    <t>PORTAO EM TELA ARAME GALVANIZADO N.12 MALHA 2" E MOLDURA EM TUBOS DE ACO COM DUAS FOLHAS DE ABRIR, INCLUSO FERRAGENS</t>
  </si>
  <si>
    <t>RAMPA DE ACESSO</t>
  </si>
  <si>
    <t>PISO CIMENTADO TRACO 1:3 (CIMENTO E AREIA), COM ACABAMENTO RUSTICO E FRISADO ESPESSURA 2CM, PREPARO MANUAL</t>
  </si>
  <si>
    <t>PISO DE LADRILHO HIDRÁULICO COLORIDO MODELO TÁTIL ( ALERTA OU DIRECIONAL) SEM LASTRO</t>
  </si>
  <si>
    <t>APLICAÇÃO MANUAL DE PINTURA COM TINTA TEXTURIZADA ACRÍLICA EM SUPERFÍCIES EXTERNAS DE SACADA DE EDIFÍCIOS DE MÚLTIPLOS PAVIMENTOS, UMA COR.AF_06/2014</t>
  </si>
  <si>
    <t>APLICAÇÃO MANUAL DE FUNDO SELADOR ACRÍLICO EM SUPERFÍCIES EXTERNAS DESACADA DE EDIFÍCIOS DE MÚLTIPLOS PAVIMENTOS. AF_06/2014</t>
  </si>
  <si>
    <t>TRATAMENTO DE JUNTAS DE DILATAÇÃO (PISO)</t>
  </si>
  <si>
    <t>73923/003</t>
  </si>
  <si>
    <t>221126</t>
  </si>
  <si>
    <t>88413</t>
  </si>
  <si>
    <t>88420</t>
  </si>
  <si>
    <t>10.4</t>
  </si>
  <si>
    <t>10.5</t>
  </si>
  <si>
    <t>10.6</t>
  </si>
  <si>
    <t>RETIRADA DE TELHAS ONDULADAS</t>
  </si>
  <si>
    <t xml:space="preserve">REMOCAO DE RUFO </t>
  </si>
  <si>
    <t xml:space="preserve">REMOCAO DE PROTECAO MECANICA DE IMPERMEABILIZACAO </t>
  </si>
  <si>
    <t>Telha em alumínio, trapezoidal, dupla, termoacústica, cor branca, esp= 0,5mm, poliuretano e=30 mm, isoeste ou similar</t>
  </si>
  <si>
    <t>RUFO EM CHAPA DE ACO GALVANIZADO NUMERO 24, DESENVOLVIMENTO DE 25CM</t>
  </si>
  <si>
    <t>IMPERMEABILIZACAO DE SUPERFICIE COM ARGAMASSA DE CIMENTO E AREIA, TRACO 1:3, COM ADITIVO IMPERMEABILIZANTE, E=3 CM</t>
  </si>
  <si>
    <t>83731</t>
  </si>
  <si>
    <t>INSTALAÇÕES DE CASA DE BOMBA</t>
  </si>
  <si>
    <t xml:space="preserve">CURVA FERRO GALVANIZADO 90G ROSCA FEMEA REF. 3" </t>
  </si>
  <si>
    <t xml:space="preserve">NIPLE DUPLO FERRO GALVANIZADO 2.1/2" </t>
  </si>
  <si>
    <t xml:space="preserve">UNIAO DE ACO GALVANIZADO 2.1/2" - FORNECIMENTO E INSTALACAO </t>
  </si>
  <si>
    <t xml:space="preserve">TE DE ACO GALVANIZADO 2.1/2" - FORNECIMENTO E INSTALACAO </t>
  </si>
  <si>
    <t xml:space="preserve">LUVA REDUCAO ACO GALVANIZADO 2.1/2X1.1/2" - FORNECIMENTO E INSTALACAO </t>
  </si>
  <si>
    <t>LUVA REDUCAO ACO GALVANIZADO 1.1/2X3/4" - FORNECIMENTO E INSTALACAO</t>
  </si>
  <si>
    <t>VÁLVULA DE RETENÇÃO HORIZONTAL Ø 65MM (2.1/2") - FORNECIMENTO E INSTALAÇÃO</t>
  </si>
  <si>
    <t>COTOVELO DE AÇO GALVANIZADO 2.1/2"</t>
  </si>
  <si>
    <t xml:space="preserve">JUNCAO FERRO GALV 45 ROSCA 2 1/2" </t>
  </si>
  <si>
    <t xml:space="preserve">REGISTRO DE GAVETA BRUTO - ∅2.1/2" </t>
  </si>
  <si>
    <t xml:space="preserve">NIPLE DE ACO GALVANIZADO 3/4" - FORNECIMENTO E INSTALACAO </t>
  </si>
  <si>
    <t xml:space="preserve">TE DE ACO GALVANIZADO 3/4" - FORNECIMENTO E INSTALACAO </t>
  </si>
  <si>
    <t>NIPLE REDUCAO FERRO GALV ROSCA 2.1/2" X 1.1/2"</t>
  </si>
  <si>
    <t>NIPLE REDUCAO FERRO GALV ROSCA 1.1/2" X 3/4"</t>
  </si>
  <si>
    <t>LUVA DE ACO GALVANIZADO 3/4" - FORNECIMENTO E INSTALACAO</t>
  </si>
  <si>
    <t xml:space="preserve">UNIAO DE ACO GALVANIZADO 3/4" - FORNECIMENTO E INSTALACAO </t>
  </si>
  <si>
    <t>REGISTRO DE GAVETA BRUTO - ∅3/4"</t>
  </si>
  <si>
    <t>CURVA FERRO GALVANIZADO 90°FEMEA DIN 2 1/2"</t>
  </si>
  <si>
    <t>NIPLE DUPLO DE REDUÇÃO FºGº (FERRO GALVANIZADO) - ∅3</t>
  </si>
  <si>
    <t>UNIÃO COM ACENTO CONICO FEMEA (ACO GALVANIZADO) - ∅3"</t>
  </si>
  <si>
    <t>ADAPTADOR PVC LR - 75MM X 2.1/2"</t>
  </si>
  <si>
    <t>VALVULA DE PE COM CRIVO  - ∅3"</t>
  </si>
  <si>
    <t>TUBO PVC SOLDAVEL MARROM 50MM</t>
  </si>
  <si>
    <t>TUBO PVC SOLDAVEL MARROM 60MM</t>
  </si>
  <si>
    <t>TUBO PVC SOLDAVEL MARROM 75MM</t>
  </si>
  <si>
    <t>TUBO PVC SOLDVAEL MARROM 85MM</t>
  </si>
  <si>
    <t>ALCAPAO EM FERRO 90X90CM, INCLUSO FERRAGENS- FORNECIMENTO E INSTALACAO</t>
  </si>
  <si>
    <t xml:space="preserve">REGISTRO PVC ESFERA VS SOLDAVEL DN 60 </t>
  </si>
  <si>
    <t xml:space="preserve">TE REDUÇÃO PVC SOLDAVEL AGUA FRIA 50X32MM - FORNECIMENTO E INSTALACAO </t>
  </si>
  <si>
    <t>TE DE PVC SOLDAVEL AGUA FRIA 75MM - FORNECIMENTO E INSTALACAO</t>
  </si>
  <si>
    <t>JOELHO PVC SOLDAVEL 90º AGUA FRIA 85MM - FORNECIMENTO E INSTALACAO</t>
  </si>
  <si>
    <t xml:space="preserve">JOELHO PVC SOLDAVEL 90º AGUA FRIA 75MM - FORNECIMENTO E INSTALACAO </t>
  </si>
  <si>
    <t>JOELHO PVC SOLDAVEL 90º AGUA FRIA 60MM - FORNECIMENTO E INSTALACAO</t>
  </si>
  <si>
    <t>JOELHO PVC SOLDAVEL 45º AGUA FRIA 75MM - FORNECIMENTO E INSTALACAO</t>
  </si>
  <si>
    <t xml:space="preserve">BUCHA REDUCAO PVC SOLD LONGA P/ AGUA FRIA PRED 75MM X 50MM </t>
  </si>
  <si>
    <t>ADAPTADOR PVC SOLDAVEL COM FLANGES LIVRES PARA CAIXA D'AGUA 75MMX2.1/2 " - FORNECIMENTO E INSTALACAO</t>
  </si>
  <si>
    <t>73796/006</t>
  </si>
  <si>
    <t>81006</t>
  </si>
  <si>
    <t>81007</t>
  </si>
  <si>
    <t>81008</t>
  </si>
  <si>
    <t>81009</t>
  </si>
  <si>
    <t>81425</t>
  </si>
  <si>
    <t xml:space="preserve">CAIXA SIFONADA EM PVC 150X185X75MM SIMPLES - FORNECIMENTO E INSTALAÇÃO </t>
  </si>
  <si>
    <t>CAIXA MULTIPLA PARA GORDURA 50X100</t>
  </si>
  <si>
    <t>RALO SECO DE PVC 100X100MM SIMPLES - FORNECIMENTO E INSTALACAO</t>
  </si>
  <si>
    <t>TAMPA CEGA EM ACO INOX P/ RALO SIFONADO 20 X 20CM - FORNECIMENTO E INSTALACAO</t>
  </si>
  <si>
    <t>PORTA GRELHA REDONDO BRANCO DIAM. 100 MM</t>
  </si>
  <si>
    <t xml:space="preserve">PORTA GRELHA REDONDO BRANCO DIAM. 150 MM </t>
  </si>
  <si>
    <t>GRELHA QUADRADA BRANCA DN 100</t>
  </si>
  <si>
    <t>GRELHA PVC BRANCA QUADRADA 150X150MM - FORNECIMENTO E INSTALACAO</t>
  </si>
  <si>
    <t>81846</t>
  </si>
  <si>
    <t>82070</t>
  </si>
  <si>
    <t>82071</t>
  </si>
  <si>
    <t>81770</t>
  </si>
  <si>
    <t>81771</t>
  </si>
  <si>
    <t>VIDRO TEMPERADO INCOLOR, ESPESSURA 10MM, FORNECIMENTO E INSTALACAO, INCLUSIVE MASSA PARA VEDACAO</t>
  </si>
  <si>
    <t xml:space="preserve">CAIXILHO FIXO, DE ALUMINIO, PARA VIDRO </t>
  </si>
  <si>
    <t>GUARDA-CORPO EM TUBO DE ACO GALVANIZADO 1 1/2" - PARA SACADA DO DIRETOR</t>
  </si>
  <si>
    <t>PORTA DE VIDRO TEMPERADO 200X2,10M, ESPESSURA 10MM, INCLUSIVE ACESSORIOS</t>
  </si>
  <si>
    <t>PORTA DE CORRER (200x210) EM VIDRO TEMPERADO, COM DUAS FOLHAS , INCLUSO 
GUARNICAO</t>
  </si>
  <si>
    <t>PORTA DE CORRER (300x210)  EM VIDRO TEMPERADO, COM DUAS FOLHAS , INCLUSO 
GUARNICAO</t>
  </si>
  <si>
    <t>PORTA DE VIDRO TEMPERADO 1,40X2,10M, ESPESSURA 10MM, INCLUSIVE ACESSORIOS</t>
  </si>
  <si>
    <t xml:space="preserve">VIDRO LISO COMUM TRANSPARENTE, ESPESSURA 4MM </t>
  </si>
  <si>
    <t>72117</t>
  </si>
  <si>
    <t>PORTA DE MADEIRA MACICA REGIONAL 1A, DE CORRER P/VIDRO, COM ADUELA E ALIZAR DE 1A, TRILHO E RODIZIOS</t>
  </si>
  <si>
    <t>PORTA DE FERRO, DE ABRIR, TIPO GRADE COM CHAPA, 87X210CM, COM GUARNICOES</t>
  </si>
  <si>
    <t>73933/001</t>
  </si>
  <si>
    <t>ABERTURA/FECHAMENTO RASGO ALVENARIA PARA TRATAMENTO DE JUNTA.</t>
  </si>
  <si>
    <t>TRATAMENTO DE JUNTAS DE DILATAÇÃO (ALVENARIAS)</t>
  </si>
  <si>
    <t>APLICAÇÃO MANUAL DE GESSO DESEMPENADO (SEM TALISCAS) EM TETO DE AMBIENTES DE ÁREA ENTRE 5M² E 10M², ESPESSURA DE 0,5CM. AF_06/2014</t>
  </si>
  <si>
    <t>APLICAÇÃO DE FUNDO SELADOR LÁTEX PVA EM TETO, UMA DEMÃO. AF_06/2014</t>
  </si>
  <si>
    <t>APLICAÇÃO MANUAL DE PINTURA COM TINTA LÁTEX PVA EM TETO, DUAS DEMÃOS. AF_06/2014</t>
  </si>
  <si>
    <t>MASSA ÚNICA, PARA RECEBIMENTO DE PINTURA, EM ARGAMASSA TRAÇO 1:2:8, PREPARO MANUAL, APLICADA MANUALMENTE EM FACES INTERNAS DE PAREDES DE AMBIENTES COM ÁREA MENOR QUE 10M2, ESPESSURA DE 10MM, COM EXECUÇÃO DE TALISCAS. AF_06/2014</t>
  </si>
  <si>
    <t>APLICAÇÃO E LIXAMENTO DE MASSA LÁTEX EM PAREDES, DUAS DEMÃOS. AF_06/2014</t>
  </si>
  <si>
    <t>APLICAÇÃO DE FUNDO SELADOR ACRÍLICO EM PAREDES, UMA DEMÃO. AF_06/2014</t>
  </si>
  <si>
    <t>APLICAÇÃO MANUAL DE PINTURA COM TINTA LÁTEX ACRÍLICA EM PAREDES, DUAS DEMÃOS. AF_06/2014</t>
  </si>
  <si>
    <t>APLICAÇÃO MANUAL DE PINTURA COM TINTA TEXTURIZADA ACRÍLICA EM PAREDES EXTERNAS DE CASAS, UMA COR. AF_06/2014</t>
  </si>
  <si>
    <t>SISTEMA DE PROTEÇÃO E COMBATE A INCÊNDIO</t>
  </si>
  <si>
    <t>BOMBA ELÉTRICA CENTRÍFUGA (PRINCIPAL) 3,0 HP</t>
  </si>
  <si>
    <t>BOMBA ELÉTRICA CENTRÍFUGA (RESERVA) 3,0 HP</t>
  </si>
  <si>
    <t>BOMBA JOCKEY 3,0 HP</t>
  </si>
  <si>
    <t xml:space="preserve">REGISTRO GAVETA 3" BRUTO LATAO - FORNECIMENTO E INSTALACAO </t>
  </si>
  <si>
    <t xml:space="preserve">COTOVELO DE AÇO GALVANIZADO 3" - FORNECIMENTO E INSTALAÇÃO </t>
  </si>
  <si>
    <t xml:space="preserve">UNIAO DE ACO GALVANIZADO 3" - FORNECIMENTO E INSTALACAO </t>
  </si>
  <si>
    <t>NIPLE DE ACO GALVANIZADO 3" - FORNECIMENTO E INSTALACAO</t>
  </si>
  <si>
    <t xml:space="preserve">TE DE ACO GALVANIZADO 3" - FORNECIMENTO E INSTALACAO </t>
  </si>
  <si>
    <t>NIPLE DUPLO DE RED. ∅3" X VAR.</t>
  </si>
  <si>
    <t xml:space="preserve"> VÁLVULA DE RETENÇÃO HORIZONTAL Ø 80MM (3") - FORNECIMENTO E INSTALAÇÃO</t>
  </si>
  <si>
    <t>BUCHA FERRO GALVANIZADO 3" X 2.1/2"</t>
  </si>
  <si>
    <t xml:space="preserve">TE DE ACO GALVANIZADO 1" - FORNECIMENTO E INSTALACAO </t>
  </si>
  <si>
    <t>PRESSOSTATO DE 80 A 120 PSI (BOMBA PRINCIPAL)</t>
  </si>
  <si>
    <t>PRESSOSTATO DE 80 A 120 PSI (BOMBA RESERVA)</t>
  </si>
  <si>
    <t>PRESSOSTATO DE 80 A 102 PSI (BOMBA JOCKEY)</t>
  </si>
  <si>
    <t>NIPLE DE ACO GALVANIZADO 1" - FORNECIMENTO E INSTALACAO</t>
  </si>
  <si>
    <t xml:space="preserve">COTOVELO DE AÇO GALVANIZADO 1" - FORNECIMENTO E INSTALAÇÃO </t>
  </si>
  <si>
    <t>TANQUE DE PRESSÃO DE 10 L</t>
  </si>
  <si>
    <t>MANOMETRO 0 A 200 PSI (0 A 14 KGF/CM2), D = 50MM - FORNECIMENTO E COLOCACAO</t>
  </si>
  <si>
    <t xml:space="preserve">LUVA REDUCAO ACO GALVANIZADO 1X1/2" - FORNECIMENTO E INSTALACAO </t>
  </si>
  <si>
    <t>73795/014</t>
  </si>
  <si>
    <t>085071</t>
  </si>
  <si>
    <t>15.4</t>
  </si>
  <si>
    <t>15.4.1</t>
  </si>
  <si>
    <t>15.4.2</t>
  </si>
  <si>
    <t>15.4.3</t>
  </si>
  <si>
    <t>CUBA DE EMBUTIR DE AÇO INOXIDÁVEL MÉDIA, INCLUSO VÁLVULA TIPO AMERICANA E SIFÃO TIPO GARRAFA EM METAL CROMADO - FORNECIMENTO E INSTALAÇÃO. AF_12/2013</t>
  </si>
  <si>
    <t>TORNEIRA CROMADA 1/2" OU 3/4" PARA TANQUE, PADRÃO MÉDIO - FORNECIMENTO E INSTALAÇÃO. AF_12/2013</t>
  </si>
  <si>
    <t>TORNEIRA CROMADA TUBO MÓVEL, DE MESA, 1/2" OU 3/4", PARA PIA DE COZINHA, PADRÃO ALTO - FORNECIMENTO E INSTALAÇÃO. AF_12/2013</t>
  </si>
  <si>
    <t>LOUÇAS E METAIS</t>
  </si>
  <si>
    <t>BANCADA DE GRANITO AMÊNDOA POLIDO PARA BALCÃO (0,60X4,90M) M - FORNECIMENTO E INSTALAÇÃO. AF_12/2013_P</t>
  </si>
  <si>
    <t>BANCADA DE GRANITO AMÊNDOA POLIDO PARA BALCÃO (0,60X1,28M) M - FORNECIMENTO E INSTALAÇÃO. AF_12/2013_P</t>
  </si>
  <si>
    <t>BANCADA DE GRANITO AMÊNDOA POLIDO PARA BALCÃO (0,60X2,50M) M - FORNECIMENTO E INSTALAÇÃO. AF_12/2013_P</t>
  </si>
  <si>
    <t>INSTALAÇÕES DE SPDA</t>
  </si>
  <si>
    <t>16.3</t>
  </si>
  <si>
    <t>PORTARIA</t>
  </si>
  <si>
    <t>REVESTIMENTO CERÂMICO PARA PAREDES INTERNAS COM PLACAS TIPO GRÊS OU SEMI-GRÊS DE DIMENSÕES 25X35 CM APLICADAS EM AMBIENTES DE ÁREA MAIOR QUE 5 M² A MEIA ALTURA DAS PAREDES. AF_06/2014</t>
  </si>
  <si>
    <t>PORTA DE MADEIRA ALMOFADADA SEMI-OCA 1A, 80X210X3CM, INCLUSO ADUELA 2A, ALIZAR 2A E DOBRADICAS</t>
  </si>
  <si>
    <t xml:space="preserve">JANELA DE CORRER EM ALUMINIO, VENEZIANA, COM BANDEIRA </t>
  </si>
  <si>
    <t>UM</t>
  </si>
  <si>
    <t>M°</t>
  </si>
  <si>
    <t>8.2</t>
  </si>
  <si>
    <t>8.3</t>
  </si>
  <si>
    <t>8.4</t>
  </si>
  <si>
    <t>8.5</t>
  </si>
  <si>
    <t>8.6</t>
  </si>
  <si>
    <t>8.7</t>
  </si>
  <si>
    <t>8.8</t>
  </si>
  <si>
    <t>17.6</t>
  </si>
  <si>
    <t>17.7</t>
  </si>
  <si>
    <t>17.8</t>
  </si>
  <si>
    <t>17.9</t>
  </si>
  <si>
    <t>TUBO PVC SOLDAVEL AGUA FRIA DN 32MM, INCLUSIVE CONEXOES - FORNECIMENTO ME INSTALACAO</t>
  </si>
  <si>
    <t xml:space="preserve"> REGISTRO DE GAVETA COM CANOPLA Ø 32MM (1.1/4") - FORNECIMENTO E INSTALAÇÃO</t>
  </si>
  <si>
    <t>73797/001</t>
  </si>
  <si>
    <t>15.1.38</t>
  </si>
  <si>
    <t>15.1.39</t>
  </si>
  <si>
    <t xml:space="preserve"> TUBO PVC ESGOTO PREDIAL DN 50MM, INCLUSIVE CONEXOES - FORNECIMENTO E INSTALACAO</t>
  </si>
  <si>
    <t>15.2.10</t>
  </si>
  <si>
    <t>15.2.11</t>
  </si>
  <si>
    <t>LAVATÓRIO LOUÇA BRANCA COM COLUNA, 45 X 55CM OU EQUIVALENTE, PADRÃO MÉDIO - FORNECIMENTO E INSTALAÇÃO. AF_12/2013_P</t>
  </si>
  <si>
    <t>PORTA PAPEL HIGIENICO EM INOX</t>
  </si>
  <si>
    <t>VASO SANITÁRIO SIFONADO COM CAIXA ACOPLADA LOUÇA BRANCA - PADRÃO MÉDIO - FORNECIMENTO E INSTALAÇÃO. AF_12/2013_P</t>
  </si>
  <si>
    <t>TORNEIRA CROMADA DE MESA, 1/2" OU 3/4", PARA LAVATÓRIO - FORNECIMENTO E INSTALAÇÃO. AF_12/2013</t>
  </si>
  <si>
    <t>15.4.4</t>
  </si>
  <si>
    <t>15.4.5</t>
  </si>
  <si>
    <t>15.4.6</t>
  </si>
  <si>
    <t>15.4.7</t>
  </si>
  <si>
    <t>80532</t>
  </si>
  <si>
    <t>ESTRUTURA METÁLICA DE COBERTURA - BLOCO ADMINISTRATIVO</t>
  </si>
  <si>
    <t>004/2015</t>
  </si>
  <si>
    <t>ANDAIME METALICO TORRE - CONSIDERANDO 4 MESES</t>
  </si>
  <si>
    <t>ANDAIME METALICO FACHADEIRO - CONSIDERANDO 4 MESES</t>
  </si>
  <si>
    <t>73838/001</t>
  </si>
  <si>
    <t>68050</t>
  </si>
  <si>
    <t>84875</t>
  </si>
  <si>
    <t>91297</t>
  </si>
  <si>
    <t>DEMOLICAO DE ESTRUTURA METALICA COMPATIVEL COM (CAIBROS E RIPAS)</t>
  </si>
  <si>
    <t>071157</t>
  </si>
  <si>
    <t>081467</t>
  </si>
  <si>
    <t>LIMPEZA PERMANENTE - SERVENTE DE PEDREIRO</t>
  </si>
  <si>
    <t>TUBO PVC ESGOTO PREDIAL DN 100MM, INCLUSIVE CONEXOES - FORNECIMENTO E INSTALACAO</t>
  </si>
  <si>
    <t>92910</t>
  </si>
  <si>
    <t>92930</t>
  </si>
  <si>
    <t>92642</t>
  </si>
  <si>
    <t>92353</t>
  </si>
  <si>
    <t>92694</t>
  </si>
  <si>
    <t>92705</t>
  </si>
  <si>
    <t>92695</t>
  </si>
  <si>
    <t>92905</t>
  </si>
  <si>
    <t>92348</t>
  </si>
  <si>
    <t>92891</t>
  </si>
  <si>
    <t>74073/001</t>
  </si>
  <si>
    <t>080982</t>
  </si>
  <si>
    <t>081185</t>
  </si>
  <si>
    <t>89513</t>
  </si>
  <si>
    <t>89515</t>
  </si>
  <si>
    <t>81407</t>
  </si>
  <si>
    <t>CORPO CAIXA SIFONADA 7 ENTRADAS 1 SAIDA ∅75MM 150X185X75</t>
  </si>
  <si>
    <t>89710</t>
  </si>
  <si>
    <t>AGETOP ADAPTADA</t>
  </si>
  <si>
    <t>81752</t>
  </si>
  <si>
    <t>085037</t>
  </si>
  <si>
    <t>085039</t>
  </si>
  <si>
    <t>92355</t>
  </si>
  <si>
    <t>92644</t>
  </si>
  <si>
    <t>085049</t>
  </si>
  <si>
    <t>92637</t>
  </si>
  <si>
    <t>85045</t>
  </si>
  <si>
    <t>85061</t>
  </si>
  <si>
    <t>92918</t>
  </si>
  <si>
    <t>86906</t>
  </si>
  <si>
    <t>90443</t>
  </si>
  <si>
    <t>74121/001</t>
  </si>
  <si>
    <t>271608</t>
  </si>
  <si>
    <t>PAVIMENTACAO EM PAVER INTERTRAVADO ,FCK=35MPA ESPESSURA 10CM, REJUNTADO COM ARGAMASSA DE CIMENTO E AREIA TRACO 1:3 (CIMENTO E AREIA)</t>
  </si>
  <si>
    <t>180305</t>
  </si>
  <si>
    <t>270236</t>
  </si>
  <si>
    <t xml:space="preserve">A LICITANTE deverá apresentar um cronograma físico-financeiro que será analisado e aprovado pelo IFG, caso venha a ser ela a contratada. </t>
  </si>
  <si>
    <t>ÁGUAS LINDAS - 2ª ETAPA</t>
  </si>
  <si>
    <t>18.7</t>
  </si>
  <si>
    <t>ESCADA TIPO MARINHEIRO EM ACO CA-50 12,5", INCLUSO PINTURA COM FUNDO ANTICORROSIVO TIPO ZARCÃO</t>
  </si>
  <si>
    <t>74103/001</t>
  </si>
  <si>
    <t>DEMOLIÇÃO DE PISOS EXISTENTES NOS SANITÁRIOS DA ADMINISTRAÇÃO</t>
  </si>
  <si>
    <t>PISO CERÂMICO PARA SANITÁRIOS DA ADMINISTRAÇÃO</t>
  </si>
  <si>
    <t>TAMPA DE FERRO FUNDIDO PARA CAIXAS DE PASSAGENS EXTERNAS</t>
  </si>
  <si>
    <t>18.8</t>
  </si>
  <si>
    <t>020111</t>
  </si>
  <si>
    <t>14.1</t>
  </si>
  <si>
    <t>87250</t>
  </si>
  <si>
    <t>14.2</t>
  </si>
  <si>
    <t>81823</t>
  </si>
  <si>
    <t>14.3</t>
  </si>
  <si>
    <t>REVESTIMENTO CERÂMICO PARA PISO COM PLACAS TIPO GRÊS DE DIMENSÕES 35X35 CM APLICADA EM AMBIENTES DE ÁREA MENOR QUE 5 M2. AF_06/2014 - PARA PORTARIA</t>
  </si>
  <si>
    <t xml:space="preserve">BUCHA REDUCAO PVC SOLD LONGA P/ AGUA FRIA PRED 75MM X 60MM </t>
  </si>
  <si>
    <t>15.1.40</t>
  </si>
  <si>
    <t>15.1.41</t>
  </si>
  <si>
    <t>15.1.42</t>
  </si>
  <si>
    <t>15.1.43</t>
  </si>
  <si>
    <t>LUVA DE PVC SOLDÁVEL MARROM 75MM</t>
  </si>
  <si>
    <t>CURVA DE 90º DE PVC SOLDÁVEL MARROM 75MM</t>
  </si>
  <si>
    <t>LUVA DE PVC COM ROSCA SOLDÁVEL MARROM 60MMX2"</t>
  </si>
  <si>
    <t>BOMBA RECALQUE D'AGUA TRIFASICA 10 CV</t>
  </si>
  <si>
    <t>Goiânia, junho de 2016</t>
  </si>
  <si>
    <t>74067/002</t>
  </si>
  <si>
    <t>89517</t>
  </si>
  <si>
    <t>89611</t>
  </si>
  <si>
    <t>081166</t>
  </si>
  <si>
    <t>19.12</t>
  </si>
  <si>
    <t>BRISE SOLEIL MÓDULO 267X120, CONFORME DETALHE ARQUITETURA</t>
  </si>
  <si>
    <t>BRISE</t>
  </si>
  <si>
    <t>APLICAÇÃO MANUAL DE PINTURA COM TINTA TEXTURIZADA ACRÍLICA EM SUPERFÍCIES 
EXTERNAS DE SACADA DE EDIFÍCIOS DE MÚLTIPLOS PAVIMENTOS, UMA COR.AF_06/2014 (PILAR)</t>
  </si>
  <si>
    <t>APLICAÇÃO MANUAL DE FUNDO SELADOR ACRÍLICO EM SUPERFÍCIES INTERNAS DE EDIFÍCIOS DE MÚLTIPLOS PAVIMENTOS. AF_06/2014 (WC'S)</t>
  </si>
  <si>
    <t>APLICAÇÃO MANUAL DE PINTURA COM TINTA LÁTEX ACRÍLICA EM TETO, DUAS DEMÃOS. 
AF_06/2014(WC'S)</t>
  </si>
  <si>
    <t xml:space="preserve">APLICAÇÃO MANUAL DE FUNDO SELADOR ACRÍLICO EM SUPERFÍCIES EXTERNAS 
DE EDIFÍCIOS DE MÚLTIPLOS PAVIMENTOS. AF_06/2014 (PILAR)
</t>
  </si>
  <si>
    <t>JUNHO DE 2016</t>
  </si>
  <si>
    <t>PAVIMENTO TÉRREO - BLOCO ADMINISTRATIVO</t>
  </si>
  <si>
    <t>Tomada rede estruturada modular completa 1xRJ-45 instalada em cx 4"x2"x2"" em condulet</t>
  </si>
  <si>
    <t>unid.</t>
  </si>
  <si>
    <t>Tomada rede estruturada modular completa 2xRJ-45 instalada em cx 4"x2"x2"" em condulet</t>
  </si>
  <si>
    <t>Tomada rede estruturada modular completa 1xRJ-45 instalada no piso</t>
  </si>
  <si>
    <t>CABOS E FIOS</t>
  </si>
  <si>
    <t xml:space="preserve">Cabo UTP FURUKAWA ou equivalente categoria 6 </t>
  </si>
  <si>
    <t xml:space="preserve">CDS'S, DG'S, ACESSÓRIOS E SERVIÇOS </t>
  </si>
  <si>
    <t xml:space="preserve">Caixa metalica 4x2x2cm </t>
  </si>
  <si>
    <t>und</t>
  </si>
  <si>
    <t>Caixa tipo "L" para condulet</t>
  </si>
  <si>
    <t>Caixa tipo "E" para condulet</t>
  </si>
  <si>
    <t>Caixa tipo "C" para condulet</t>
  </si>
  <si>
    <t>Cerficação utilizando o aparelho DLSP 4300 Fluke ou equipamento EQUIVALENTE, serviço a ser feito por prestadora autorizada - (todos os pontos de rede estruturada, inclusive os pontos de câmeras. Impresso e Mídia)</t>
  </si>
  <si>
    <t>Pontos</t>
  </si>
  <si>
    <t>Abraçadeira de alumínio p/ cabo CB CTP APL</t>
  </si>
  <si>
    <t>DUTOS E CONEXÕES, CANAIS PARA FIOS E CABOS</t>
  </si>
  <si>
    <t>ELETRODUTO DE PVC RIGIDO DIAMETRO 1"</t>
  </si>
  <si>
    <t>unid</t>
  </si>
  <si>
    <t>ACESSÓRIOS E EQUIPAMENTOS</t>
  </si>
  <si>
    <t>Access Point Cisco WAP4410N PoE</t>
  </si>
  <si>
    <t>cotação</t>
  </si>
  <si>
    <t>Agetop</t>
  </si>
  <si>
    <t>Sinapi</t>
  </si>
  <si>
    <t>PAVIMENTO SUPERIOR - BLOCO ADMINISTRATIVO</t>
  </si>
  <si>
    <t>Caixa tipo "B" para condulet</t>
  </si>
  <si>
    <t>DG DISTRIBUIDOR GERAL, EM CAIXA DE PASSAGEM (60x60x12)cm DE SOBREPOR COM FUNDO EM MADEIRITE</t>
  </si>
  <si>
    <t>BASTIDOR PARA FIXAÇÃO DE BLOCO DE DISTRIBUIÇÃO EM ESTRUTURA DE DG COM CAPACIDADE PARA 3BER.</t>
  </si>
  <si>
    <t xml:space="preserve">BER-10P - BLOCO DE ENGATE RÁPIDO - 10 PARES - BLOCO TERMINAL TIPO M10B COM CORTE, COM CONTATO NORMALMENTE FECHADO (NF) </t>
  </si>
  <si>
    <t>BARRA DE ATERRAMENTO MPEI</t>
  </si>
  <si>
    <t>RACK FECHADO DE PAREDE COM PORTA EM ACRÍLICO - 36 U´S</t>
  </si>
  <si>
    <t>RACK FECHADO DE PAREDE COM PORTA EM ACRÍLICO - 24 U´S</t>
  </si>
  <si>
    <t>Switch HP 1910-48 JG540A 48 portas 10/100, 2 Gbit, 2SFP</t>
  </si>
  <si>
    <t>Patch Panel 24 portas (RJ-45) CAT. 6 PINAGEM  "A" COR PRETA FURUKAWA ou equivalente</t>
  </si>
  <si>
    <t>Patch Voice</t>
  </si>
  <si>
    <t>Patch  Panel CFTV</t>
  </si>
  <si>
    <t>PATCH CABLE 4 PARES 1,5m - FAST LAN - CATEGORIA 6 - COR AZUL</t>
  </si>
  <si>
    <t>PATCH CABLE 4 PARES 1,5m - FAST LAN - CATEGORIA 6 - COR VERMELHO</t>
  </si>
  <si>
    <t>Bandeja em chapa de zinco (50x50x10)cm</t>
  </si>
  <si>
    <t>Kit de Ventilação c/ 2 ventiladores - p/ Rack 19"</t>
  </si>
  <si>
    <t>Kit Porca gaiola e parafusos para Rack 19"</t>
  </si>
  <si>
    <t>Régua de tomadas p/ RACK (com 4 tomadas)</t>
  </si>
  <si>
    <t>Etiqueta de  identificação de tomadas  ref. Wml 311-292 da marca brady ou equivalente</t>
  </si>
  <si>
    <t>Espiraduto e acessórios</t>
  </si>
  <si>
    <t>vb.</t>
  </si>
  <si>
    <t>Guia organizador de cabos</t>
  </si>
  <si>
    <t>CAIXA DIO PADRÃO 19"; ESTRUTURA EM AÇO SAE 1010 DE 1.2mm; FRENTE EM ACRÍLICO (4mm DE ESPESSURA); ABERTURA PARA ENTRADA DE CABOS; APRESENTA GAVETAS DESLISANTES;  COR PRETO</t>
  </si>
  <si>
    <t>PAINEL DIO PARA 12 FIBRAS</t>
  </si>
  <si>
    <t>CONJUNTO DE ABRAÇADEIRAS PARA KIT PIGTAIL</t>
  </si>
  <si>
    <t>TUBO TRANSPARENTE PARA KIT PIGTAIL</t>
  </si>
  <si>
    <t>BANDEJA PARA 12 FUSÕES ÓPTICAS</t>
  </si>
  <si>
    <t>ADAPTADOR ÓPTICO MONOMODO SC-APC DUPLEX "COR VERDE"</t>
  </si>
  <si>
    <t>PIGTAIL ÓPTICO MONOMODO 9/125 SC/APC 1,5m</t>
  </si>
  <si>
    <t>CORDÃO ÓPTICO DUPLEX TIPO MONOMODO 9/125 TIPO LC-SC - 1,5m</t>
  </si>
  <si>
    <t xml:space="preserve">Piso elevado </t>
  </si>
  <si>
    <t>PAR BALUM PARA CFTV - INTELBRAS ou equivalente</t>
  </si>
  <si>
    <t>PLACA DE AVISO "sorria você está sendo filmado"</t>
  </si>
  <si>
    <t>FONTE DE 12V/10A com transformador interno</t>
  </si>
  <si>
    <t>CONECTOR BNC - para solda e mola</t>
  </si>
  <si>
    <t>BORNE DE ALIMENTAÇÃO P4 para CFTV</t>
  </si>
  <si>
    <t xml:space="preserve">cotação </t>
  </si>
  <si>
    <t xml:space="preserve">agetop </t>
  </si>
  <si>
    <t>PAVIMENTO TÉRREO - BLOCO SALA DE AULA</t>
  </si>
  <si>
    <t>ELETROPERFIL LISO COM TAMPA DE PRESSÃO, EM FERRO GALVANIZADO A FOGO (38x38x6000)mm barra 6m</t>
  </si>
  <si>
    <t>Caixa de derivação tipo "T" para instalação em perfilado</t>
  </si>
  <si>
    <t>Caixa de derivação tipo "I" para instalação em perfilado</t>
  </si>
  <si>
    <t>Caixa de derivação tipo "L" para instalação em perfilado</t>
  </si>
  <si>
    <t>PAVIMENTO SUPERIOR - BLOCO SALA DE AULA</t>
  </si>
  <si>
    <t>CENTRAL PABX - 20 TRONCOS / 130 RAMAIS</t>
  </si>
  <si>
    <t>DG DISTRIBUIDOR GERAL, EM CAIXA DE PASSAGEM (100x100x12)cm DE SOBREPOR COM FUNDO EM MADEIRITE</t>
  </si>
  <si>
    <t>IMPLANTAÇÃO - BLOCO ADMINISTRAÇÃO E SALA DE AULA</t>
  </si>
  <si>
    <t xml:space="preserve">Eletroduto PVC rígido - com luva,  instalação embutido ,  preto, rosqueavel - 3" </t>
  </si>
  <si>
    <t>Cabo CTP APL 50-10</t>
  </si>
  <si>
    <t>Cabo CTP APL 50-100</t>
  </si>
  <si>
    <t>Cabo Telefonico CI -50 - 30 pares</t>
  </si>
  <si>
    <t>Cabo Telefonico CI -50 - 10 pares</t>
  </si>
  <si>
    <t>Cabo Fibra óptica CFO MM 6FO</t>
  </si>
  <si>
    <t>CX. DE PASSAGEM - R2 (107x52x50)mm EM CONCRETO PRÉ-MOLDADA COM TAMPA DE FERRO - (107x52x50)mm</t>
  </si>
  <si>
    <t>ESCAVACAO MANUAL DE VALAS EM TERRA COMPACTA, PROF. DE 0 M &lt; H &lt;= 1 M</t>
  </si>
  <si>
    <t>m³</t>
  </si>
  <si>
    <t>Escavação Caixa de Passagem</t>
  </si>
  <si>
    <t>Brito n°1 para drenagem de CP</t>
  </si>
  <si>
    <t>AREIA FINA PARA ENVELOPAMENTO</t>
  </si>
  <si>
    <t>Fita de advertência - perigo - risco de choque - rolo com 300mx7,5cm</t>
  </si>
  <si>
    <t>93011</t>
  </si>
  <si>
    <t>73690</t>
  </si>
  <si>
    <t>83639</t>
  </si>
  <si>
    <t>73768/005</t>
  </si>
  <si>
    <t>73768/003</t>
  </si>
  <si>
    <t>73749/002</t>
  </si>
  <si>
    <t>79507/005</t>
  </si>
  <si>
    <t>051027</t>
  </si>
  <si>
    <t>CONDULETE PVC X 3/4" S/TAMPA</t>
  </si>
  <si>
    <t>CONDULETE PVC L 3/4" S/TAMPA</t>
  </si>
  <si>
    <t>73861/017</t>
  </si>
  <si>
    <t>73861/014</t>
  </si>
  <si>
    <t>Eletrocalha 150x100x3000 barra de 3m</t>
  </si>
  <si>
    <t>Cuva 90º para eletrocalha 150x100x3000</t>
  </si>
  <si>
    <t>Tê horizontal eletrocalha 150x100x3000</t>
  </si>
  <si>
    <t>Tê vertical eletrocalha 150x100x3000</t>
  </si>
  <si>
    <t>Tê vertical eletrocalha 150x100x3001</t>
  </si>
  <si>
    <t>Curva de inversão eletrocalha 150x100x3000</t>
  </si>
  <si>
    <t>Cruzeta eletrocalha 150x100x3000</t>
  </si>
  <si>
    <t>TOMADA BAIXA DE EMBUTIR (1 MÓDULO), 2P+T 10 A, INCLUINDO SUPORTE E PLACA - FORNECIMENTO E INSTALAÇÃO.</t>
  </si>
  <si>
    <t>TOMADA BAIXA DE EMBUTIR (2 MÓDULOS), 2P+T 10 A, INCLUINDO SUPORTE E PLACA - FORNECIMENTO E INSTALAÇÃO.</t>
  </si>
  <si>
    <t>TOMADA MÉDIA DE EMBUTIR (1 MÓDULO), 2P+T 10 A, INCLUINDO SUPORTE E PLACA - FORNECIMENTO E INSTALAÇÃO.</t>
  </si>
  <si>
    <t>TOMADA MÉDIA DE EMBUTIR (2 MÓDULOS), 2P+T 10 A, INCLUINDO SUPORTE E PLACA - FORNECIMENTO E INSTALAÇÃO.</t>
  </si>
  <si>
    <t>TOMADA BAIXA APARENTE (1 MÓDULO), 2P+T 10 A, INCLUINDO SUPORTE E PLACA - FORNECIMENTO E INSTALAÇÃO.</t>
  </si>
  <si>
    <t>TOMADA BAIXA APARENTE (2 MÓDULOS), 2P+T 10 A, INCLUINDO SUPORTE E PLACA - FORNECIMENTO E INSTALAÇÃO.</t>
  </si>
  <si>
    <t>TOMADA MÉDIA APARENTE (1 MÓDULO), 2P+T 10 A, INCLUINDO SUPORTE E PLACA - FORNECIMENTO E INSTALAÇÃO.</t>
  </si>
  <si>
    <t>TOMADA ALTA APARENTE (1 MÓDULO), 2P+T 10 A - FORNECIMENTO E INSTALAÇÃO.</t>
  </si>
  <si>
    <t>CAIXAS DE PASSAGEM E QUADROS</t>
  </si>
  <si>
    <t>QUADRO GERAL (800x400x250)mm, MONTADO ESTILO ARMARIO COMPOSTO POR: PLACA DE MONTAGEM; BARRAMENTO TRIFÁSICO PRINCIPAL -300A; BARRAMENTO DE NEUTRO-300A; BARRAMENTO DE TERRA 150A; CANALETAS PARA ORGANIZAÇÃO DOS CABOS; PLACA DE ACRÍLICO PARA PROTEÇÃO DOS BARRAMENTOS; ISOLADORES ; CHAVE TIPO  YALE PARA FECHAMENTO DO QUADRO.</t>
  </si>
  <si>
    <t>CAIXA OCTOGONAL 4" X 4", PVC, INSTALADA EM LAJE - FORNECIMENTO E INSTALAÇÃO.</t>
  </si>
  <si>
    <t>CAIXA RETANGULAR 4" X 2" MÉDIA (1,30 M DO PISO), PVC, INSTALADA EM PAREDE - FORNECIMENTO E INSTALAÇÃO.</t>
  </si>
  <si>
    <t>CAIXA RETANGULAR 4" X 2" BAIXA (1,30 M DO PISO), PVC, INSTALADA EM PAREDE - FORNECIMENTO E INSTALAÇÃO.</t>
  </si>
  <si>
    <t>CAIXA DE PASSAGEM METALICA 20X20X12 CM</t>
  </si>
  <si>
    <t>CAIXA DE PASSAGEM METALICA 30X30X12 CM</t>
  </si>
  <si>
    <t>DUTOS E CANAIS PARA FIOS E CABOS</t>
  </si>
  <si>
    <t>ELETRODUTO FLEXÍVEL CORRUGADO, PVC, DN 25 MM (3/4"), PARA CIRCUITOS TERMINAIS, INSTALADO EM FORRO - FORNECIMENTO E INSTALAÇÃO.</t>
  </si>
  <si>
    <t>ELETRODUTO RÍGIDO ROSCÁVEL, PVC, DN 25 MM (3/4"), PARA CIRCUITOS TERMINAIS, INSTALADO EM PAREDE - FORNECIMENTO E INSTALAÇÃO.</t>
  </si>
  <si>
    <t>ELETRODUTO DE PVC RIGIDO ROSCAVEL (1 1/2")</t>
  </si>
  <si>
    <t>ELETRODUTO DE PVC RIGIDO ROSCAVEL (4")</t>
  </si>
  <si>
    <t>Eletrocalha perfurada 100x100x3000mm com vergalhão e acessórios</t>
  </si>
  <si>
    <t>br</t>
  </si>
  <si>
    <t>CURVA DE INVERSÃO PARA ELETROCALHA</t>
  </si>
  <si>
    <t>CURVA DE 90° PARA ELETROCALHA</t>
  </si>
  <si>
    <t>T HORIZONTAL PARA ELETROCALHA</t>
  </si>
  <si>
    <t>Saida horizontal  (eletrocalha para eletroduto 3/4")</t>
  </si>
  <si>
    <t xml:space="preserve">DISJUNTORES </t>
  </si>
  <si>
    <t>Disjuntor Monopolar  20A - Curva C - Siemens e ou equivalente</t>
  </si>
  <si>
    <t>Disjuntor Monopolar  25A - Curva C - Siemens e ou equivalente</t>
  </si>
  <si>
    <t>Disjuntor Monopolar  32A - Curva C - Siemens e ou equivalente</t>
  </si>
  <si>
    <t xml:space="preserve">Disjuntor Tripolar  32A - Curva C - Siemens e ou equivalente </t>
  </si>
  <si>
    <t xml:space="preserve">Disjuntor Tripolar   63A - Curva C - Siemens e ou equivalente </t>
  </si>
  <si>
    <t xml:space="preserve">Disjuntor Tripolar  70A - Curva C - Siemens e ou equivalente </t>
  </si>
  <si>
    <t>DISJUNTOR TERMOMAGNETICO TRIPOLAR EM CAIXA MOLDADA 100A</t>
  </si>
  <si>
    <t>DISJUNTOR TERMOMAGNETICO TRIPOLAR EM CAIXA MOLDADA 175A</t>
  </si>
  <si>
    <t>DISJUNTOR TERMOMAGNETICO TRIPOLAR EM CAIXA MOLDADA 250A</t>
  </si>
  <si>
    <t>Interruptor diferencial residual bipolar 25A-30mA (DR)</t>
  </si>
  <si>
    <t>FIOS E CABOS - EXCLUSIVOS PARA DISTRIBUIÇÃO DOS RAMAIS</t>
  </si>
  <si>
    <t>CABO DE COBRE FLEXÍVEL ISOLADO, 2,5 MM², ANTI-CHAMA 450/750 V, PARA CIRCUITOS TERMINAIS - FORNECIMENTO E INSTALAÇÃO - COR VERMELHO (FASE)</t>
  </si>
  <si>
    <t>CABO DE COBRE FLEXÍVEL ISOLADO, 2,5 MM², ANTI-CHAMA 450/750 V, PARA CIRCUITOS TERMINAIS - FORNECIMENTO E INSTALAÇÃO - COR AZUL (NEUTRO)</t>
  </si>
  <si>
    <t>CABO DE COBRE FLEXÍVEL ISOLADO, 2,5 MM², ANTI-CHAMA 450/750 V, PARA CIRCUITOS TERMINAIS - FORNECIMENTO E INSTALAÇÃO - COR VERDE (TERRA)</t>
  </si>
  <si>
    <t>CABO DE COBRE FLEXÍVEL ISOLADO, 2,5 MM², ANTI-CHAMA 450/750 V, PARA CIRCUITOS TERMINAIS - FORNECIMENTO E INSTALAÇÃO - COR BRANCO (RETORNO)</t>
  </si>
  <si>
    <t>CABO DE COBRE FLEXÍVEL ISOLADO, 4,0 MM², ANTI-CHAMA 450/750 V, PARA CIRCUITOS TERMINAIS - FORNECIMENTO E INSTALAÇÃO - COR VERMELHO (FASE)</t>
  </si>
  <si>
    <t>CABO DE COBRE FLEXÍVEL ISOLADO, 4,0 MM², ANTI-CHAMA 450/750 V, PARA CIRCUITOS TERMINAIS - FORNECIMENTO E INSTALAÇÃO - COR AZUL (NEUTRO)</t>
  </si>
  <si>
    <t>CABO DE COBRE FLEXÍVEL ISOLADO, 4,0 MM², ANTI-CHAMA 450/750 V, PARA CIRCUITOS TERMINAIS - FORNECIMENTO E INSTALAÇÃO - COR VERDE (TERRA)</t>
  </si>
  <si>
    <t>CABO DE COBRE FLEXÍVEL ISOLADO, 6 MM², ANTI-CHAMA 0,6/1,0 KV, PARA CIRCUITOS TERMINAIS - FORNECIMENTO E INSTALAÇÃO - COR VERDE (TERRA)</t>
  </si>
  <si>
    <t>CABO DE COBRE FLEXÍVEL ISOLADO, 6 MM², ANTI-CHAMA 0,6/1,0 KV, PARA CIRCUITOS TERMINAIS - FORNECIMENTO E INSTALAÇÃO - COR AZUL (NEUTRO)</t>
  </si>
  <si>
    <t>CABO DE COBRE FLEXÍVEL ISOLADO, 6 MM², ANTI-CHAMA 0,6/1,0 KV, PARA CIRCUITOS TERMINAIS - FORNECIMENTO E INSTALAÇÃO - COR PRETO (FASE)</t>
  </si>
  <si>
    <t>CABO DE COBRE FLEXÍVEL ISOLADO, 16 MM², ANTI-CHAMA 0,6/1,0 KV, PARA DISTRIBUIÇÃO - FORNECIMENTO E INSTALAÇÃO - COR AZUL (NEUTRO)</t>
  </si>
  <si>
    <t>CABO DE COBRE FLEXÍVEL ISOLADO, 16 MM², ANTI-CHAMA 0,6/1,0 KV, PARA DISTRIBUIÇÃO - FORNECIMENTO E INSTALAÇÃO - COR PRETO (FASE)</t>
  </si>
  <si>
    <t>CABO DE COBRE FLEXÍVEL ISOLADO, 16 MM², ANTI-CHAMA 0,6/1,0 KV, PARA DISTRIBUIÇÃO - FORNECIMENTO E INSTALAÇÃO - COR VERDE (TERRA)</t>
  </si>
  <si>
    <t>CABO DE COBRE FLEXÍVEL ISOLADO, 35 MM², ANTI-CHAMA 0,6/1,0 KV, PARA DISTRIBUIÇÃO - FORNECIMENTO E INSTALAÇÃO - COR AZUL (NEUTRO)</t>
  </si>
  <si>
    <t>CABO DE COBRE FLEXÍVEL ISOLADO, 35 MM², ANTI-CHAMA 0,6/1,0 KV, PARA DISTRIBUIÇÃO - FORNECIMENTO E INSTALAÇÃO - COR PRETO (FASE)</t>
  </si>
  <si>
    <t>CABO DE COBRE FLEXÍVEL ISOLADO, 35 MM², ANTI-CHAMA 0,6/1,0 KV, PARA DISTRIBUIÇÃO - FORNECIMENTO E INSTALAÇÃO - COR VERDE (TERRA)</t>
  </si>
  <si>
    <t>CABO DE COBRE FLEXÍVEL ISOLADO, 70 MM², ANTI-CHAMA 0,6/1,0 KV, PARA DISTRIBUIÇÃO - FORNECIMENTO E INSTALAÇÃO - COR AZUL (NEUTRO)</t>
  </si>
  <si>
    <t>CABO DE COBRE FLEXÍVEL ISOLADO, 70 MM², ANTI-CHAMA 0,6/1,0 KV, PARA DISTRIBUIÇÃO - FORNECIMENTO E INSTALAÇÃO - COR PRETO (FASE)</t>
  </si>
  <si>
    <t>INTERRUPTORES</t>
  </si>
  <si>
    <t>INTERRUPTOR SIMPLES (1 MÓDULO), 10A/250V, INCLUINDO SUPORTE E PLACA - FORNECIMENTO E INSTALAÇÃO.</t>
  </si>
  <si>
    <t>INTERRUPTOR SIMPLES (2 MÓDULOS), 10A/250V, INCLUINDO SUPORTE E PLACA - FORNECIMENTO E INSTALAÇÃO.</t>
  </si>
  <si>
    <t>INTERRUPTOR SIMPLES (3 MÓDULOS), 10A/250V, INCLUINDO SUPORTE E PLACA FORNECIMENTO E INSTALAÇÃO.</t>
  </si>
  <si>
    <t>INTERRUPTOR PARALELO (1 MÓDULOS), 10A/250V, INCLUINDO SUPORTE E PLACA FORNECIMENTO E INSTALAÇÃO.</t>
  </si>
  <si>
    <t>ILUMINAÇÃO</t>
  </si>
  <si>
    <r>
      <t xml:space="preserve">LUMINÁRIA DE SOBREPOR, CORPO EM CHAPA DE AÇO OU ALUMINIO, COR BRANCA, LÂMPADA FLUORESCENTE TUBULAR T8 - 2x32W, COM DIFUSOR ACRÍLICO LEITOSO. </t>
    </r>
    <r>
      <rPr>
        <sz val="8"/>
        <color indexed="10"/>
        <rFont val="Arial"/>
        <family val="2"/>
      </rPr>
      <t>(EXISTEM 132 LUMINÁRIAS EXISTENTES, QUE SERÃO REAPROVEITADAS)</t>
    </r>
  </si>
  <si>
    <t>LUMINÁRIA DE SOBREPOR, CORPO EM CHAPA DE AÇO OU ALUMINIO, COR BRANCA, LÂMPADA FLUORESCENTE TUBULAR T8 - 2x16W, COM DIFUSOR ACRÍLICO LEITOSO.</t>
  </si>
  <si>
    <t>LUMINÁRIA DE EMBUTIR ITAIM PARA 2 LÂMPADAS FLUORESCENTES COMPACTA DE 26W. CORPO E REFLETOR EM CHAPA DE AÇO TRATADA COM ACABAMENTO EM PINTURA ELETROSTÁTICA EPÓXI-PÓ NA COR BRANCA. DIFUSOR EM ACRÍLICO LEITOSO. REATOR ELETROMÁGNÉTICO 220V, FT 0,92, SEM RUÍDO ELETROMAGNÉTICO E MECÂNICO COM CERTIFICAÇÃO INMETRO, PROCEL, 5 ANOS DE GARANTIA.</t>
  </si>
  <si>
    <t>LUMINÁRIA DE SOBREPOR TIPO ARANDELA/ 1 LÂMPADA FLUORESCENTE COMPACTADA ELETRÔNICA DE 26W/ CORPO E GRADE FRONTAL DE PROTEÇÃO EM ALUMÍNIO FUNDIDO COM ACABAMENTO EM PINTURA ELETROSTÁTICA EPÓXI-PÓ NA COR BRANCA/ DIFUSOR EM VIDRO TEMPERADO TRANSPARENTE FRISADO</t>
  </si>
  <si>
    <t>LUMINÁRIA  TIPO REFLETOR DE LED, CORPO EM ALUMINIO REPUXADO, PINTURA ANODIZADA EM CINZA,  FLUXO LUMINOSO IGUAL OU ACIMA: 7560 Im ÍNDICE DE REPRODUÇÃO DE COR: &gt; 70 ÂNGULO ABERTURA (135º A 65º): VIDA ÚTIL ACIMA DE : 25.000H POTÊNCIA: 64W TENSÃO BIVOLT : 100-240V  FREQUÊNCIA: 50/60 Hz  CORRENTE ELÉTRICA: 406 mA (127 V) / 234 mA (220 V) FATOR DE POTÊNCIA: 0.97 TEMP. DE OPERAÇÃO: -20°C a 40°C,   ÍNDICE DE PROTEÇÃO: IP 65 TEMPERATURA DE COR: NEUTRA 4.000K ,  GARANTIA MÍNIMA DE 2 ANOS LED COB</t>
  </si>
  <si>
    <t>Luminária de emergência DIALUX 2x8W - 220V com bateria recarregável.</t>
  </si>
  <si>
    <t>TOMADAS</t>
  </si>
  <si>
    <t>Composição</t>
  </si>
  <si>
    <t>74130/001</t>
  </si>
  <si>
    <t>74130/002</t>
  </si>
  <si>
    <t>74130/004</t>
  </si>
  <si>
    <t>74130/005</t>
  </si>
  <si>
    <t>74130/010</t>
  </si>
  <si>
    <t>74130/007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</si>
  <si>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</si>
  <si>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</si>
  <si>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</si>
  <si>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</si>
  <si>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</si>
  <si>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</si>
  <si>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</si>
  <si>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</si>
  <si>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</si>
  <si>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</si>
  <si>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</si>
  <si>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</si>
  <si>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</si>
  <si>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</si>
  <si>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</si>
  <si>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</si>
  <si>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16.1.17</t>
  </si>
  <si>
    <t>16.1.18</t>
  </si>
  <si>
    <t>16.1.19</t>
  </si>
  <si>
    <t>16.1.20</t>
  </si>
  <si>
    <t>16.1.21</t>
  </si>
  <si>
    <t>16.1.22</t>
  </si>
  <si>
    <t>16.1.23</t>
  </si>
  <si>
    <t>16.1.24</t>
  </si>
  <si>
    <t>16.1.25</t>
  </si>
  <si>
    <t>16.1.26</t>
  </si>
  <si>
    <t>16.1.27</t>
  </si>
  <si>
    <t>16.1.28</t>
  </si>
  <si>
    <t>16.1.29</t>
  </si>
  <si>
    <t>16.1.30</t>
  </si>
  <si>
    <t>16.1.31</t>
  </si>
  <si>
    <t>16.1.32</t>
  </si>
  <si>
    <t>16.1.33</t>
  </si>
  <si>
    <t>16.1.34</t>
  </si>
  <si>
    <t>16.1.35</t>
  </si>
  <si>
    <t>16.1.36</t>
  </si>
  <si>
    <t>16.1.37</t>
  </si>
  <si>
    <t>16.1.38</t>
  </si>
  <si>
    <t>16.1.39</t>
  </si>
  <si>
    <t>16.1.40</t>
  </si>
  <si>
    <t>16.1.41</t>
  </si>
  <si>
    <t>16.1.42</t>
  </si>
  <si>
    <t>16.1.43</t>
  </si>
  <si>
    <t>16.1.44</t>
  </si>
  <si>
    <t>16.1.45</t>
  </si>
  <si>
    <t>16.1.46</t>
  </si>
  <si>
    <t>16.1.47</t>
  </si>
  <si>
    <t>16.1.48</t>
  </si>
  <si>
    <t>16.1.49</t>
  </si>
  <si>
    <t>16.1.50</t>
  </si>
  <si>
    <t>16.1.51</t>
  </si>
  <si>
    <t>16.1.52</t>
  </si>
  <si>
    <t>16.1.53</t>
  </si>
  <si>
    <t>16.1.55</t>
  </si>
  <si>
    <t>16.1.56</t>
  </si>
  <si>
    <t>16.1.57</t>
  </si>
  <si>
    <t>16.1.58</t>
  </si>
  <si>
    <t>16.1.59</t>
  </si>
  <si>
    <t>16.1.60</t>
  </si>
  <si>
    <t>16.1.61</t>
  </si>
  <si>
    <t>16.1.62</t>
  </si>
  <si>
    <t>16.1.63</t>
  </si>
  <si>
    <t>TOMADA MÉDIA APARENTE (2 MÓDULOS), 2P+T 10 A, INCLUINDO SUPORTE E PLACA - FORNECIMENTO E INSTALAÇÃO.</t>
  </si>
  <si>
    <t>QUADRO DE DISTRIBUIÇÃO DE ENERGIA DE EMBUTIR, EM CHAPA METÁLICA, PARA 6 DISJUNTORES TERMOMAGNETICOS MONOPOLARES, SEM BARRAMENTO, FORNECIMENTO E INSTALAÇÃO</t>
  </si>
  <si>
    <t>QUADRO DE DISTRIBUIÇÃO DE ENERGIA DE EMBUTIR, EM CHAPA METÁLICA, PARA 12 DISJUNTORES TERMOMAGNETICOS MONOPOLARES, COM BARRAMENTO TRIFÁSICO E NEUTRO, FORNECIMENTO E INSTALAÇÃO</t>
  </si>
  <si>
    <t>QUADRO DE DISTRIBUIÇÃO DE ENERGIA DE EMBUTIR, EM CHAPA METÁLICA, PARA 40 DISJUNTORES TERMOMAGNETICOS MONOPOLARES, COM BARRAMENTO TRIFÁSICO E NEUTRO, FORNECIMENTO E INSTALAÇÃO</t>
  </si>
  <si>
    <t>ELETRODUTO DE PVC RIGIDO ROSCAVEL (3")</t>
  </si>
  <si>
    <t>CABO DE COBRE FLEXÍVEL ISOLADO, 25 MM², ANTI-CHAMA 0,6/1,0 KV, PARA DISTRIBUIÇÃO - FORNECIMENTO E INSTALAÇÃO - COR AZUL (NEUTRO)</t>
  </si>
  <si>
    <t>CABO DE COBRE FLEXÍVEL ISOLADO, 25 MM², ANTI-CHAMA 0,6/1,0 KV, PARA DISTRIBUIÇÃO - FORNECIMENTO E INSTALAÇÃO - COR PRETO (FASE)</t>
  </si>
  <si>
    <t>INTERRUPTOR PARALELO (2 MÓDULOS), 10A/250V, INCLUINDO SUPORTE E PLACA FORNECIMENTO E INSTALAÇÃO.</t>
  </si>
  <si>
    <t>16.1.64</t>
  </si>
  <si>
    <t>16.1.65</t>
  </si>
  <si>
    <t>16.1.66</t>
  </si>
  <si>
    <t>16.1.67</t>
  </si>
  <si>
    <t>16.1.68</t>
  </si>
  <si>
    <t>16.1.69</t>
  </si>
  <si>
    <t>16.1.70</t>
  </si>
  <si>
    <t>16.1.71</t>
  </si>
  <si>
    <t>16.1.72</t>
  </si>
  <si>
    <t>16.1.73</t>
  </si>
  <si>
    <t>16.1.74</t>
  </si>
  <si>
    <t>16.1.75</t>
  </si>
  <si>
    <t>16.1.76</t>
  </si>
  <si>
    <t>16.1.77</t>
  </si>
  <si>
    <t>16.1.78</t>
  </si>
  <si>
    <t>16.1.79</t>
  </si>
  <si>
    <t>16.1.80</t>
  </si>
  <si>
    <t>16.1.81</t>
  </si>
  <si>
    <t>16.1.82</t>
  </si>
  <si>
    <t>16.1.83</t>
  </si>
  <si>
    <t>16.1.84</t>
  </si>
  <si>
    <t>16.1.85</t>
  </si>
  <si>
    <t>16.1.86</t>
  </si>
  <si>
    <t>16.1.87</t>
  </si>
  <si>
    <t>16.1.88</t>
  </si>
  <si>
    <t>16.1.89</t>
  </si>
  <si>
    <t>16.1.90</t>
  </si>
  <si>
    <t>16.1.91</t>
  </si>
  <si>
    <t>16.1.92</t>
  </si>
  <si>
    <t>16.1.93</t>
  </si>
  <si>
    <t>16.1.94</t>
  </si>
  <si>
    <t>16.1.95</t>
  </si>
  <si>
    <t>16.1.96</t>
  </si>
  <si>
    <t>16.1.97</t>
  </si>
  <si>
    <t>16.1.98</t>
  </si>
  <si>
    <t>16.1.99</t>
  </si>
  <si>
    <t>16.1.100</t>
  </si>
  <si>
    <t>16.1.101</t>
  </si>
  <si>
    <t>16.1.102</t>
  </si>
  <si>
    <t>16.1.103</t>
  </si>
  <si>
    <t>16.1.104</t>
  </si>
  <si>
    <t>16.1.105</t>
  </si>
  <si>
    <t>16.1.106</t>
  </si>
  <si>
    <t>16.1.107</t>
  </si>
  <si>
    <t>16.1.108</t>
  </si>
  <si>
    <t>16.1.109</t>
  </si>
  <si>
    <t>16.1.110</t>
  </si>
  <si>
    <t>16.1.111</t>
  </si>
  <si>
    <t>84402</t>
  </si>
  <si>
    <t>83463</t>
  </si>
  <si>
    <t>74131/007</t>
  </si>
  <si>
    <t>QUADRO DE DISTRIBUIÇÃO DE ENERGIA DE EMBUTIR, EM CHAPA METÁLICA, PARA 24 DISJUNTORES TERMOMAGNETICOS MONOPOLARES, COM BARRAMENTO TRIFÁSICO E NEUTRO, FORNECIMENTO E INSTALAÇÃO</t>
  </si>
  <si>
    <t>QUADRO DE DISTRIBUIÇÃO DE ENERGIA DE EMBUTIR, EM CHAPA METÁLICA, PARA 32 DISJUNTORES TERMOMAGNETICOS MONOPOLARES, COM BARRAMENTO TRIFÁSICO E NEUTRO, FORNECIMENTO E INSTALAÇÃO</t>
  </si>
  <si>
    <t>QUADRO GERAL (800x400x250)mm, MONTADO ESTILO ARMARIO COMPOSTO POR: PLACA DE MONTAGEM; BARRAMENTO TRIFÁSICO PRINCIPAL - 200A; BARRAMENTO DE NEUTRO-200A; BARRAMENTO DE TERRA 150A; CANALETAS PARA ORGANIZAÇÃO DOS CABOS; PLACA DE ACRÍLICO PARA PROTEÇÃO DOS BARRAMENTOS; ISOLADORES ; CHAVE TIPO  YALE PARA FECHAMENTO DO QUADRO.</t>
  </si>
  <si>
    <t>DISJUNTOR TERMOMAGNETICO TRIPOLAR EM CAIXA MOLDADA 150A</t>
  </si>
  <si>
    <t>74131/005</t>
  </si>
  <si>
    <t>74130/006</t>
  </si>
  <si>
    <t>16.1.112</t>
  </si>
  <si>
    <t>16.1.113</t>
  </si>
  <si>
    <t>16.1.114</t>
  </si>
  <si>
    <t>16.1.115</t>
  </si>
  <si>
    <t>16.1.116</t>
  </si>
  <si>
    <t>16.1.117</t>
  </si>
  <si>
    <t>16.1.118</t>
  </si>
  <si>
    <t>16.1.119</t>
  </si>
  <si>
    <t>16.1.120</t>
  </si>
  <si>
    <t>16.1.121</t>
  </si>
  <si>
    <t>16.1.122</t>
  </si>
  <si>
    <t>16.1.123</t>
  </si>
  <si>
    <t>16.1.124</t>
  </si>
  <si>
    <t>16.1.125</t>
  </si>
  <si>
    <t>16.1.126</t>
  </si>
  <si>
    <t>16.1.127</t>
  </si>
  <si>
    <t>16.1.128</t>
  </si>
  <si>
    <t>16.1.129</t>
  </si>
  <si>
    <t>16.1.130</t>
  </si>
  <si>
    <t>16.1.131</t>
  </si>
  <si>
    <t>16.1.132</t>
  </si>
  <si>
    <t>16.1.133</t>
  </si>
  <si>
    <t>16.1.134</t>
  </si>
  <si>
    <t>16.1.135</t>
  </si>
  <si>
    <t>16.1.136</t>
  </si>
  <si>
    <t>16.1.137</t>
  </si>
  <si>
    <t>16.1.138</t>
  </si>
  <si>
    <t>16.1.139</t>
  </si>
  <si>
    <t>16.1.140</t>
  </si>
  <si>
    <t>16.1.141</t>
  </si>
  <si>
    <t>16.1.142</t>
  </si>
  <si>
    <t>16.1.143</t>
  </si>
  <si>
    <t>16.1.144</t>
  </si>
  <si>
    <t>16.1.145</t>
  </si>
  <si>
    <t>16.1.146</t>
  </si>
  <si>
    <t>16.1.147</t>
  </si>
  <si>
    <t>16.1.148</t>
  </si>
  <si>
    <t>16.1.149</t>
  </si>
  <si>
    <t>16.1.150</t>
  </si>
  <si>
    <t>16.1.151</t>
  </si>
  <si>
    <t>16.1.152</t>
  </si>
  <si>
    <t>16.1.153</t>
  </si>
  <si>
    <t>16.1.154</t>
  </si>
  <si>
    <t>16.1.155</t>
  </si>
  <si>
    <t>16.1.156</t>
  </si>
  <si>
    <t>QUADRO DE DISTRIBUICAO DE ENERGIA PARA  6 DISJUNTORES TERMOMAGNETICOS MONOPOLARES SEM BARRAMENTO, DE EMBUTIR, EM CHAPA METALICA - FORNECIMENTO
E INSTALACAO</t>
  </si>
  <si>
    <t>16.1.157</t>
  </si>
  <si>
    <t>16.1.158</t>
  </si>
  <si>
    <t>16.1.159</t>
  </si>
  <si>
    <t>16.1.160</t>
  </si>
  <si>
    <t>16.1.161</t>
  </si>
  <si>
    <t>16.1.162</t>
  </si>
  <si>
    <t>16.1.163</t>
  </si>
  <si>
    <t>16.1.164</t>
  </si>
  <si>
    <t>16.1.165</t>
  </si>
  <si>
    <t>16.1.166</t>
  </si>
  <si>
    <t>16.1.167</t>
  </si>
  <si>
    <t>16.1.168</t>
  </si>
  <si>
    <t>16.1.169</t>
  </si>
  <si>
    <t>16.1.172</t>
  </si>
  <si>
    <t>16.1.173</t>
  </si>
  <si>
    <t>16.1.174</t>
  </si>
  <si>
    <t>16.1.175</t>
  </si>
  <si>
    <t>16.1.176</t>
  </si>
  <si>
    <t>16.1.177</t>
  </si>
  <si>
    <t>16.1.178</t>
  </si>
  <si>
    <t>16.1.179</t>
  </si>
  <si>
    <t>16.1.180</t>
  </si>
  <si>
    <t>16.1.181</t>
  </si>
  <si>
    <t>16.1.182</t>
  </si>
  <si>
    <t>16.1.183</t>
  </si>
  <si>
    <t>16.1.184</t>
  </si>
  <si>
    <t>16.1.185</t>
  </si>
  <si>
    <t>16.1.186</t>
  </si>
  <si>
    <t>16.1.187</t>
  </si>
  <si>
    <t>16.1.188</t>
  </si>
  <si>
    <t>16.1.189</t>
  </si>
  <si>
    <t>16.1.190</t>
  </si>
  <si>
    <t>16.1.191</t>
  </si>
  <si>
    <t>16.1.192</t>
  </si>
  <si>
    <t>16.1.193</t>
  </si>
  <si>
    <t>16.1.194</t>
  </si>
  <si>
    <t>16.1.195</t>
  </si>
  <si>
    <t>16.1.196</t>
  </si>
  <si>
    <t>16.1.197</t>
  </si>
  <si>
    <t>16.1.198</t>
  </si>
  <si>
    <t>16.1.199</t>
  </si>
  <si>
    <t>16.1.200</t>
  </si>
  <si>
    <t>16.1.201</t>
  </si>
  <si>
    <t>16.1.202</t>
  </si>
  <si>
    <t>16.1.203</t>
  </si>
  <si>
    <t>16.1.204</t>
  </si>
  <si>
    <t>16.1.205</t>
  </si>
  <si>
    <t>IMPLANTAÇÃO</t>
  </si>
  <si>
    <t>QUADRO QGBT`S</t>
  </si>
  <si>
    <t>DISJUNTOR TERMOMAGNETICO TRIPOLAR EM CAIXA MOLDADA 350A</t>
  </si>
  <si>
    <t>DISJUNTOR TERMOMAGNETICO TRIPOLAR EM CAIXA MOLDADA 500A</t>
  </si>
  <si>
    <t xml:space="preserve">Disjuntor Tripolar  5 SX1  800A - Curva C - Siemens e ou equivalente </t>
  </si>
  <si>
    <t>CAIXA METÁLICA PARA DISJUNTOR GERAL  (1000x1200x310)mm</t>
  </si>
  <si>
    <t>Und.</t>
  </si>
  <si>
    <t>KIT. BARRAMENTO 1000A TRIFÁSICO 2000A</t>
  </si>
  <si>
    <t>DUTOS/ ELETROCALHA</t>
  </si>
  <si>
    <t>FIOS E CABOS</t>
  </si>
  <si>
    <t>Cabo unipolar 185,0mm² EPR/XLPE 90ºC- Cor Preta (fase)</t>
  </si>
  <si>
    <t>Cabo unipolar 185,0mm² EPR/XLPE 90ºC- Cor  Azul (neutro)</t>
  </si>
  <si>
    <t>Cabo unipolar 70,0mm² EPR/XLPE 90ºC- Cor  Azul (terra)</t>
  </si>
  <si>
    <t>Cabo unipolar 120,0mm² EPR/XLPE 90ºC- Cor Preta (fase)</t>
  </si>
  <si>
    <t>Cabo unipolar 120,0mm² EPR/XLPE 90ºC- Cor  Azul (neutro)</t>
  </si>
  <si>
    <t>Cabo unipolar 60,0mm² EPR/XLPE 90ºC- Cor  Azul (terra)</t>
  </si>
  <si>
    <t>Cabo unipolar 150,0mm² EPR/XLPE 90ºC- Cor Preta (fase)</t>
  </si>
  <si>
    <t>Cabo unipolar 150,0mm² EPR/XLPE 90ºC- Cor  Azul (neutro)</t>
  </si>
  <si>
    <t>Cabo unipolar 70,0mm² EPR/XLPE 90ºC- Cor Preta (fase)</t>
  </si>
  <si>
    <t>Cabo unipolar 70,0mm² EPR/XLPE 90ºC- Cor  Azul (neutro)</t>
  </si>
  <si>
    <t>Cabo unipolar 35,0mm² EPR/XLPE 90ºC- Cor  Azul (terra)</t>
  </si>
  <si>
    <t>Cabo unipolar 50,0mm² EPR/XLPE 90ºC- Cor Preta (fase)</t>
  </si>
  <si>
    <t>Cabo unipolar 50,0mm² EPR/XLPE 90ºC- Cor  Azul (neutro)</t>
  </si>
  <si>
    <t>Cabo unipolar 25,0mm² EPR/XLPE 90ºC- Cor  Azul (terra)</t>
  </si>
  <si>
    <t>Cabo unipolar 35,0mm² EPR/XLPE 90ºC- Cor Preta (fase)</t>
  </si>
  <si>
    <t>Cabo unipolar 35,0mm² EPR/XLPE 90ºC- Cor  Azul (neutro)</t>
  </si>
  <si>
    <t>Cabo unipolar 16,0mm² EPR/XLPE 90ºC- Cor  Azul (terra)</t>
  </si>
  <si>
    <t>*Obs.: Item orçado, mas deve ser consultado junto à Celg, que executa a rede e cobra taxa especial do consumidor.</t>
  </si>
  <si>
    <t>CAIXA DE PASSAGEM (800x800x1400)mm alv. com tampa</t>
  </si>
  <si>
    <t>16.1.206</t>
  </si>
  <si>
    <t>16.1.207</t>
  </si>
  <si>
    <t>16.1.208</t>
  </si>
  <si>
    <t>16.1.209</t>
  </si>
  <si>
    <t>16.1.210</t>
  </si>
  <si>
    <t>16.1.211</t>
  </si>
  <si>
    <t>16.1.212</t>
  </si>
  <si>
    <t>16.1.213</t>
  </si>
  <si>
    <t>16.1.214</t>
  </si>
  <si>
    <t>16.1.215</t>
  </si>
  <si>
    <t>16.1.216</t>
  </si>
  <si>
    <t>16.1.217</t>
  </si>
  <si>
    <t>16.1.218</t>
  </si>
  <si>
    <t>16.1.219</t>
  </si>
  <si>
    <t>16.1.220</t>
  </si>
  <si>
    <t>16.1.221</t>
  </si>
  <si>
    <t>16.1.222</t>
  </si>
  <si>
    <t>16.1.223</t>
  </si>
  <si>
    <t>16.1.224</t>
  </si>
  <si>
    <t>16.1.225</t>
  </si>
  <si>
    <t>16.1.226</t>
  </si>
  <si>
    <t>16.1.227</t>
  </si>
  <si>
    <t>16.1.228</t>
  </si>
  <si>
    <t>16.1.229</t>
  </si>
  <si>
    <t>16.1.230</t>
  </si>
  <si>
    <t>16.1.231</t>
  </si>
  <si>
    <t>16.1.232</t>
  </si>
  <si>
    <t>16.1.233</t>
  </si>
  <si>
    <t>16.1.234</t>
  </si>
  <si>
    <t>16.1.235</t>
  </si>
  <si>
    <t>16.1.236</t>
  </si>
  <si>
    <t>74130/008</t>
  </si>
  <si>
    <t>74130/009</t>
  </si>
  <si>
    <t>16.1.237</t>
  </si>
  <si>
    <t>16.1.238</t>
  </si>
  <si>
    <t>16.1.239</t>
  </si>
  <si>
    <t>16.1.240</t>
  </si>
  <si>
    <t>16.1.241</t>
  </si>
  <si>
    <t>16.1.242</t>
  </si>
  <si>
    <t>16.1.243</t>
  </si>
  <si>
    <t>16.1.244</t>
  </si>
  <si>
    <t>16.1.245</t>
  </si>
  <si>
    <t>16.1.246</t>
  </si>
  <si>
    <t>16.1.247</t>
  </si>
  <si>
    <t>16.1.248</t>
  </si>
  <si>
    <t>INFRA-ESTRUTURA PARA S.E. 500kVA - PEDESTAL</t>
  </si>
  <si>
    <t>CX. ATERRAMENTO (200x200x250)mm dimensões internas em ALVENARIA COM TAMPA DE FERRO</t>
  </si>
  <si>
    <t>SOLDA EXOTERMICA P/ INTERLIGAÇÃO DAS MALHAS DE ATERRAMENTO</t>
  </si>
  <si>
    <t>Cordoalha de cobre  Nú , 70,0 mm²</t>
  </si>
  <si>
    <t>Haste coperweld diâmetro 16x2400mm</t>
  </si>
  <si>
    <t>Fita isolante alto-fusão - 25m</t>
  </si>
  <si>
    <t>EXTENSÃO DE REDE E SUBESTAÇÃO</t>
  </si>
  <si>
    <t>ELETRODUTO pvc rigido   Ø4"-100mm - brr-3,0m</t>
  </si>
  <si>
    <t>pino de Isolador para cruzeta de aço ,15kv.</t>
  </si>
  <si>
    <t>olhal para parafuso</t>
  </si>
  <si>
    <t>CINTA DE AÇO GALVANIZADO,PARA POSTE CC 11/300KGF COMPLETA</t>
  </si>
  <si>
    <t>ELO FUSIVEL ,DT 16/36,2KVTIPO BOTÃO FIX,25K</t>
  </si>
  <si>
    <t>ESPAÇADOR</t>
  </si>
  <si>
    <t>CABO UNIPOLAR DE COBRE CLASSE II  ISOL.POLIETILENO RETICULADO,1#35mm2- 15 KV-XLPE 90oc</t>
  </si>
  <si>
    <t>CABO PARA NEUTRO 2CA - ALUMÍNIO</t>
  </si>
  <si>
    <t>CABO MENSAGEIRO 1#9,5mm</t>
  </si>
  <si>
    <t>PARA-RAIOS DISTR. TIPO ÓXIDO DE ZINCO,  POLIMÉRICOS SEM  SENTELHADOR COM DESL. AUTOMÁTICO TENSÕES DE 12KV, MCOV-10,2KV P\ SIST. 13,8KV, IN=10KA, F=60HZ  INSTALAR NA CARCAÇA DO TRANSFORMADOR</t>
  </si>
  <si>
    <t xml:space="preserve">PARAFUSO CABEÇA ABAULADA, M16 x 45mm
</t>
  </si>
  <si>
    <t>PARAFUSO CABEÇA ABAULADA, M16 x 70mm</t>
  </si>
  <si>
    <t>BRITA Nº01 - m³</t>
  </si>
  <si>
    <t>ARAME GALVANIZADO 12 BWG</t>
  </si>
  <si>
    <t>Chave fusível, base "C", 12kV, NBI 95kV, elo 25K</t>
  </si>
  <si>
    <t>Protetor de pára-raios</t>
  </si>
  <si>
    <t>Suporte "Z" para fixação de pára-raios ou chave fusível</t>
  </si>
  <si>
    <t xml:space="preserve">Laço preformado plástico para espaçador e separador </t>
  </si>
  <si>
    <t>Braço "C"</t>
  </si>
  <si>
    <t>Cantoneira auxiliar para braço "C"</t>
  </si>
  <si>
    <t>Conector de compressão formato "H"</t>
  </si>
  <si>
    <t>Conector estribo tipo cunha</t>
  </si>
  <si>
    <t>Capa isolante para conector tipo cunha</t>
  </si>
  <si>
    <t>Protetor para estribo e grampo de linha viva</t>
  </si>
  <si>
    <t>Sapatilha</t>
  </si>
  <si>
    <t>Manilha sapatilha</t>
  </si>
  <si>
    <t>Isolador de ancoragem polimérico, 15kV</t>
  </si>
  <si>
    <t>16.1.249</t>
  </si>
  <si>
    <t>16.1.250</t>
  </si>
  <si>
    <t>16.1.251</t>
  </si>
  <si>
    <t>16.1.252</t>
  </si>
  <si>
    <t>16.1.253</t>
  </si>
  <si>
    <t>16.1.254</t>
  </si>
  <si>
    <t>16.1.255</t>
  </si>
  <si>
    <t>16.1.256</t>
  </si>
  <si>
    <t>16.1.257</t>
  </si>
  <si>
    <t>16.1.258</t>
  </si>
  <si>
    <t>16.1.259</t>
  </si>
  <si>
    <t>16.1.260</t>
  </si>
  <si>
    <t>16.1.261</t>
  </si>
  <si>
    <t>16.1.262</t>
  </si>
  <si>
    <t>16.1.263</t>
  </si>
  <si>
    <t>Pára-raio de duas descidas, H=3m, completo composto: 01 – captor cobre cromado – 5 KA saida diam. 3/4” - Mastro diâm. 38mm - Isolador de ponteira 10Kv p/ fixação do captor e suporte fixo para tubo diâm. 38mm - Base para mastro diam. 38mm</t>
  </si>
  <si>
    <t>Solda exotérmica</t>
  </si>
  <si>
    <t>Eletroduto de PVC rígido p/ proteção diâm. 1 "PVC rígido 3,0m - Descida</t>
  </si>
  <si>
    <t>Caixa de inspeção suspensa para aterramento (4x4x2)"</t>
  </si>
  <si>
    <t>Cabo de cobre nu de 50mm² tipo cordoalha</t>
  </si>
  <si>
    <t>Haste aterramento alta camada de cobre 16x2400mm rosqueáveis nas extremidades</t>
  </si>
  <si>
    <t>Luva rosqueável para haste de cobre diam. 16x2400mm</t>
  </si>
  <si>
    <t>Curva 90° rosqueável p/ elet. Pvc rígido 1"</t>
  </si>
  <si>
    <t>Terminal de pressão em latão ou cobre, completo, para transição entre barra de chata de alumínio ou junta móvel e cabo 50mm2</t>
  </si>
  <si>
    <t>Conector de medição para cabo até 50mm2 p/ 03 parafusos</t>
  </si>
  <si>
    <t>Parafuso sextavado rosca soberba diâmetro de 1/4"x32mm com Bucha de nylon S6</t>
  </si>
  <si>
    <t>Terminal aéreo de fixação horizontal 30cm com conector</t>
  </si>
  <si>
    <t>Barra chata de alumínio 3/4"x1/4"x3m</t>
  </si>
  <si>
    <t>Junta móvel para desmembramento da malha p/ terra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</si>
  <si>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</si>
  <si>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</si>
  <si>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</si>
  <si>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</si>
  <si>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</si>
  <si>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</si>
  <si>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</si>
  <si>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</si>
  <si>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</si>
  <si>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</si>
  <si>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</si>
  <si>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</si>
  <si>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</si>
  <si>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</si>
  <si>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16.2.15</t>
  </si>
  <si>
    <t>16.2.16</t>
  </si>
  <si>
    <t>16.2.17</t>
  </si>
  <si>
    <t>16.2.18</t>
  </si>
  <si>
    <t>16.2.19</t>
  </si>
  <si>
    <t>16.2.20</t>
  </si>
  <si>
    <t>16.2.21</t>
  </si>
  <si>
    <t>16.2.22</t>
  </si>
  <si>
    <t>16.2.23</t>
  </si>
  <si>
    <t>16.2.24</t>
  </si>
  <si>
    <t>16.2.25</t>
  </si>
  <si>
    <t>16.2.26</t>
  </si>
  <si>
    <t>16.2.27</t>
  </si>
  <si>
    <t>16.2.28</t>
  </si>
  <si>
    <t>16.2.29</t>
  </si>
  <si>
    <t>16.2.30</t>
  </si>
  <si>
    <t>16.2.31</t>
  </si>
  <si>
    <t>16.2.32</t>
  </si>
  <si>
    <t>16.2.33</t>
  </si>
  <si>
    <t>16.2.34</t>
  </si>
  <si>
    <t>16.2.35</t>
  </si>
  <si>
    <t>16.2.36</t>
  </si>
  <si>
    <t>16.2.37</t>
  </si>
  <si>
    <t>16.2.38</t>
  </si>
  <si>
    <t>16.2.39</t>
  </si>
  <si>
    <t>16.2.40</t>
  </si>
  <si>
    <t>16.2.41</t>
  </si>
  <si>
    <t>16.2.42</t>
  </si>
  <si>
    <t>16.2.43</t>
  </si>
  <si>
    <t>16.2.44</t>
  </si>
  <si>
    <t>16.2.45</t>
  </si>
  <si>
    <t>16.2.46</t>
  </si>
  <si>
    <t>16.2.47</t>
  </si>
  <si>
    <t>16.2.48</t>
  </si>
  <si>
    <t>16.2.49</t>
  </si>
  <si>
    <t>16.2.50</t>
  </si>
  <si>
    <t>16.2.51</t>
  </si>
  <si>
    <t>16.2.52</t>
  </si>
  <si>
    <t>16.2.53</t>
  </si>
  <si>
    <t>16.2.54</t>
  </si>
  <si>
    <t>16.2.55</t>
  </si>
  <si>
    <t>16.2.56</t>
  </si>
  <si>
    <t>16.2.57</t>
  </si>
  <si>
    <t>16.2.58</t>
  </si>
  <si>
    <t>16.2.59</t>
  </si>
  <si>
    <t>16.2.60</t>
  </si>
  <si>
    <t>16.2.61</t>
  </si>
  <si>
    <t>16.2.62</t>
  </si>
  <si>
    <t>16.2.63</t>
  </si>
  <si>
    <t>16.2.64</t>
  </si>
  <si>
    <t>16.2.65</t>
  </si>
  <si>
    <t>16.2.66</t>
  </si>
  <si>
    <t>16.2.67</t>
  </si>
  <si>
    <t>16.2.68</t>
  </si>
  <si>
    <t>16.2.69</t>
  </si>
  <si>
    <t>16.2.70</t>
  </si>
  <si>
    <t>16.2.71</t>
  </si>
  <si>
    <t>16.2.72</t>
  </si>
  <si>
    <t>16.2.73</t>
  </si>
  <si>
    <t>16.2.74</t>
  </si>
  <si>
    <t>16.2.75</t>
  </si>
  <si>
    <t>16.2.76</t>
  </si>
  <si>
    <t>16.2.77</t>
  </si>
  <si>
    <t>16.2.78</t>
  </si>
  <si>
    <t>16.2.79</t>
  </si>
  <si>
    <t>16.2.80</t>
  </si>
  <si>
    <t>16.2.81</t>
  </si>
  <si>
    <t>16.2.82</t>
  </si>
  <si>
    <t>16.2.83</t>
  </si>
  <si>
    <t>16.2.84</t>
  </si>
  <si>
    <t>16.2.85</t>
  </si>
  <si>
    <t>16.2.86</t>
  </si>
  <si>
    <t>16.2.87</t>
  </si>
  <si>
    <t>16.2.88</t>
  </si>
  <si>
    <t>16.2.89</t>
  </si>
  <si>
    <t>16.2.90</t>
  </si>
  <si>
    <t>16.2.91</t>
  </si>
  <si>
    <t>16.2.92</t>
  </si>
  <si>
    <t>16.2.93</t>
  </si>
  <si>
    <t>16.2.94</t>
  </si>
  <si>
    <t>16.2.95</t>
  </si>
  <si>
    <t>16.2.96</t>
  </si>
  <si>
    <t>16.2.97</t>
  </si>
  <si>
    <t>16.2.98</t>
  </si>
  <si>
    <t>16.2.99</t>
  </si>
  <si>
    <t>16.2.100</t>
  </si>
  <si>
    <t>16.2.101</t>
  </si>
  <si>
    <t>16.2.102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</si>
  <si>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</si>
  <si>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</si>
  <si>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</si>
  <si>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</si>
  <si>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</si>
  <si>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</si>
  <si>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</si>
  <si>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</si>
  <si>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</si>
  <si>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</si>
  <si>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</si>
  <si>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</si>
  <si>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</si>
  <si>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16.3.14</t>
  </si>
  <si>
    <t xml:space="preserve">AGETOP </t>
  </si>
  <si>
    <t>BLOCO ADMINISTRATIVO E BLOCO SALA DE AULA</t>
  </si>
  <si>
    <t>Goiânia, julho de 2016</t>
  </si>
  <si>
    <t xml:space="preserve">BDI </t>
  </si>
  <si>
    <t>085047</t>
  </si>
  <si>
    <t>EXECUÇÃO DE ESCRITÓRIO EM CANTEIRO DE OBRAS EM CHAPA DE MADEIRA COMPENSADA, NÃO INCLUSO MOBILIARIO E EQUIPAMENTOS</t>
  </si>
  <si>
    <t>ENTRADA PROVISORIA DE ENERGIA ELETRICA AEREA TRIFASICA 40A EM POSTE MADEIRA</t>
  </si>
  <si>
    <t>94231</t>
  </si>
  <si>
    <t>94499</t>
  </si>
  <si>
    <t>94666</t>
  </si>
  <si>
    <t>94500</t>
  </si>
  <si>
    <t>90861</t>
  </si>
  <si>
    <t>73964/006</t>
  </si>
  <si>
    <t>REATERRO MANUAL DE VALA</t>
  </si>
  <si>
    <t>CONCRETO USINADO BOMBEADO FCK=20MPA, INCLUSIVE LANCAMENTO E ADENSAMENTO P/ ENVELOPAMENTO</t>
  </si>
  <si>
    <t>94263</t>
  </si>
  <si>
    <t>* NÃO-DESONERADA</t>
  </si>
  <si>
    <t>Foi estimado um BDI de 24,67% para esta obra, entretanto, o custo do BDI de cada empresa é individual e deverá contemplar todos os serviços previstos no Edital e que não estão diretamente contemplados nos serviços discriminados na presente planilha.</t>
  </si>
  <si>
    <t>Declaramos para os devidos fins que os quantitativos constantes nesta planilha orçamentária estão de acordo com os projetos de arquitetura e engenharia da obra, encaminhados pela Diretoria de Projetos - IFG. Declaramos ainda que custos unitários de insumos e serviços estão de acordo com os do Sistema Nacional de Pesquisa de Custos e Índices da Construção Civil (SINAPI), do mês de junho de 2016, e, exporadicamente, com os da Agência Goiana de Transportes e Obras Públicas (AGETOP), do ano de 2015. Quando houverem exceções para adoção de custos, as mesmas estarão devidamente justificadas na planilha orçamentária.
Este orçamento e seus anexos seguem as diretrizes e orientações da Lei Nº 8.666, de 21 de junho de 1993, e o Decreto Nº 7.983, de 8 de abril de 2013.</t>
  </si>
  <si>
    <t>VIGIA NOTURNO - CONSIDERANDO 210 HORAS MENSAIS</t>
  </si>
  <si>
    <t>MESTRE DE OBRA - CONSIDERANDO 176 HORAS MENSAIS</t>
  </si>
  <si>
    <t>ALMOXARIFE - CONSIDERANDO 176 HORAS MENSAIS</t>
  </si>
  <si>
    <t>APONTADOR - CONSIDERANDO 176 HORAS MENSAIS</t>
  </si>
  <si>
    <t>00041776</t>
  </si>
  <si>
    <t>21.5</t>
  </si>
  <si>
    <t>COMPOSIÇÃO</t>
  </si>
  <si>
    <t>13.1</t>
  </si>
  <si>
    <t>16.1.170</t>
  </si>
  <si>
    <t>16.1.171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</si>
</sst>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[$-416]dddd\,\ d&quot; de &quot;mmmm&quot; de &quot;yyyy"/>
    <numFmt numFmtId="178" formatCode="0.000%"/>
    <numFmt numFmtId="179" formatCode="#,#00"/>
    <numFmt numFmtId="180" formatCode="#.########"/>
    <numFmt numFmtId="181" formatCode="\X#.########"/>
    <numFmt numFmtId="182" formatCode="0.00000000"/>
    <numFmt numFmtId="183" formatCode="_(* #,##0.00000000_);_(* \(#,##0.00000000\);_(* &quot;-&quot;????????_);_(@_)"/>
    <numFmt numFmtId="184" formatCode="_-* #,##0.000_-;\-* #,##0.000_-;_-* &quot;-&quot;??_-;_-@_-"/>
    <numFmt numFmtId="185" formatCode="_-* #,##0.0000_-;\-* #,##0.0000_-;_-* &quot;-&quot;??_-;_-@_-"/>
    <numFmt numFmtId="186" formatCode="0.0%"/>
    <numFmt numFmtId="187" formatCode="&quot;R$&quot;\ #,##0.00"/>
    <numFmt numFmtId="188" formatCode="0.00000%"/>
    <numFmt numFmtId="189" formatCode="0.0000%"/>
    <numFmt numFmtId="190" formatCode="0.00000"/>
    <numFmt numFmtId="191" formatCode="0.0000"/>
    <numFmt numFmtId="192" formatCode="0.000"/>
    <numFmt numFmtId="193" formatCode="00"/>
    <numFmt numFmtId="194" formatCode="0,000"/>
    <numFmt numFmtId="195" formatCode="?,???"/>
    <numFmt numFmtId="196" formatCode="?0.00"/>
    <numFmt numFmtId="197" formatCode="#,##0.00\ ;\-#,##0.00\ ;&quot; -&quot;#\ ;@\ "/>
    <numFmt numFmtId="198" formatCode="mmm/yyyy"/>
    <numFmt numFmtId="199" formatCode="dd/mm/yy;@"/>
    <numFmt numFmtId="200" formatCode="_-* #,##0.00_-;\-* #,##0.00_-;_-* \-??_-;_-@_-"/>
    <numFmt numFmtId="201" formatCode="0.0"/>
    <numFmt numFmtId="202" formatCode="#,##0.0"/>
    <numFmt numFmtId="203" formatCode="#,##0.000"/>
    <numFmt numFmtId="204" formatCode="0.000000"/>
    <numFmt numFmtId="205" formatCode="_(* #,##0.00_);_(* \(#,##0.00\);_(* \-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16"/>
      <name val="Garamond"/>
      <family val="1"/>
    </font>
    <font>
      <sz val="16"/>
      <name val="Arial"/>
      <family val="2"/>
    </font>
    <font>
      <b/>
      <sz val="16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4" fillId="33" borderId="12" xfId="62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10" fontId="4" fillId="33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7" fillId="34" borderId="12" xfId="0" applyFont="1" applyFill="1" applyBorder="1" applyAlignment="1">
      <alignment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vertical="center" wrapText="1"/>
    </xf>
    <xf numFmtId="10" fontId="7" fillId="34" borderId="12" xfId="0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4" fontId="7" fillId="33" borderId="12" xfId="0" applyNumberFormat="1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43" fontId="4" fillId="33" borderId="12" xfId="62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right" vertical="center"/>
    </xf>
    <xf numFmtId="43" fontId="7" fillId="34" borderId="12" xfId="62" applyFont="1" applyFill="1" applyBorder="1" applyAlignment="1">
      <alignment vertical="center" wrapText="1"/>
    </xf>
    <xf numFmtId="10" fontId="7" fillId="34" borderId="12" xfId="0" applyNumberFormat="1" applyFont="1" applyFill="1" applyBorder="1" applyAlignment="1">
      <alignment vertical="center"/>
    </xf>
    <xf numFmtId="10" fontId="7" fillId="0" borderId="12" xfId="0" applyNumberFormat="1" applyFont="1" applyFill="1" applyBorder="1" applyAlignment="1">
      <alignment vertical="center"/>
    </xf>
    <xf numFmtId="43" fontId="4" fillId="34" borderId="12" xfId="62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right" vertical="center" wrapText="1"/>
    </xf>
    <xf numFmtId="10" fontId="7" fillId="34" borderId="12" xfId="0" applyNumberFormat="1" applyFont="1" applyFill="1" applyBorder="1" applyAlignment="1">
      <alignment horizontal="right" vertical="center" wrapText="1"/>
    </xf>
    <xf numFmtId="43" fontId="7" fillId="34" borderId="12" xfId="62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10" fontId="7" fillId="34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43" fontId="7" fillId="34" borderId="12" xfId="62" applyFont="1" applyFill="1" applyBorder="1" applyAlignment="1">
      <alignment horizontal="right" vertical="center" wrapText="1"/>
    </xf>
    <xf numFmtId="43" fontId="3" fillId="33" borderId="12" xfId="62" applyFont="1" applyFill="1" applyBorder="1" applyAlignment="1">
      <alignment horizontal="right" vertical="center" wrapText="1"/>
    </xf>
    <xf numFmtId="0" fontId="0" fillId="0" borderId="10" xfId="53" applyBorder="1" applyAlignment="1" applyProtection="1">
      <alignment horizontal="center" vertical="center" wrapText="1"/>
      <protection/>
    </xf>
    <xf numFmtId="0" fontId="0" fillId="0" borderId="15" xfId="53" applyBorder="1" applyAlignment="1" applyProtection="1">
      <alignment horizontal="center" vertical="center" wrapText="1"/>
      <protection/>
    </xf>
    <xf numFmtId="0" fontId="0" fillId="0" borderId="16" xfId="53" applyBorder="1" applyAlignment="1" applyProtection="1">
      <alignment horizontal="center" vertical="center" wrapText="1"/>
      <protection/>
    </xf>
    <xf numFmtId="0" fontId="0" fillId="0" borderId="17" xfId="53" applyBorder="1" applyAlignment="1" applyProtection="1">
      <alignment horizontal="center" vertical="center" wrapText="1"/>
      <protection/>
    </xf>
    <xf numFmtId="0" fontId="0" fillId="0" borderId="0" xfId="53" applyBorder="1" applyAlignment="1" applyProtection="1">
      <alignment horizontal="center" vertical="center" wrapText="1"/>
      <protection/>
    </xf>
    <xf numFmtId="0" fontId="0" fillId="0" borderId="18" xfId="53" applyBorder="1" applyAlignment="1" applyProtection="1">
      <alignment horizontal="center" vertical="center" wrapText="1"/>
      <protection/>
    </xf>
    <xf numFmtId="0" fontId="0" fillId="0" borderId="17" xfId="53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18" xfId="53" applyBorder="1" applyProtection="1">
      <alignment/>
      <protection/>
    </xf>
    <xf numFmtId="0" fontId="12" fillId="0" borderId="17" xfId="53" applyFont="1" applyBorder="1" applyProtection="1">
      <alignment/>
      <protection/>
    </xf>
    <xf numFmtId="0" fontId="12" fillId="0" borderId="0" xfId="53" applyFont="1" applyBorder="1" applyProtection="1">
      <alignment/>
      <protection/>
    </xf>
    <xf numFmtId="0" fontId="12" fillId="0" borderId="18" xfId="53" applyFont="1" applyBorder="1" applyProtection="1">
      <alignment/>
      <protection/>
    </xf>
    <xf numFmtId="0" fontId="13" fillId="0" borderId="17" xfId="53" applyFont="1" applyBorder="1" applyAlignment="1" applyProtection="1">
      <alignment/>
      <protection/>
    </xf>
    <xf numFmtId="0" fontId="13" fillId="0" borderId="0" xfId="53" applyFont="1" applyBorder="1" applyAlignment="1" applyProtection="1">
      <alignment/>
      <protection/>
    </xf>
    <xf numFmtId="0" fontId="13" fillId="0" borderId="18" xfId="53" applyFont="1" applyBorder="1" applyAlignment="1" applyProtection="1">
      <alignment/>
      <protection/>
    </xf>
    <xf numFmtId="0" fontId="13" fillId="0" borderId="17" xfId="53" applyFont="1" applyBorder="1" applyAlignment="1" applyProtection="1">
      <alignment horizontal="center"/>
      <protection/>
    </xf>
    <xf numFmtId="0" fontId="13" fillId="0" borderId="0" xfId="53" applyFont="1" applyBorder="1" applyAlignment="1" applyProtection="1">
      <alignment horizontal="center"/>
      <protection/>
    </xf>
    <xf numFmtId="0" fontId="13" fillId="0" borderId="18" xfId="53" applyFont="1" applyBorder="1" applyAlignment="1" applyProtection="1">
      <alignment horizontal="center"/>
      <protection/>
    </xf>
    <xf numFmtId="0" fontId="0" fillId="0" borderId="19" xfId="53" applyBorder="1" applyProtection="1">
      <alignment/>
      <protection/>
    </xf>
    <xf numFmtId="0" fontId="0" fillId="0" borderId="20" xfId="53" applyBorder="1" applyProtection="1">
      <alignment/>
      <protection/>
    </xf>
    <xf numFmtId="0" fontId="0" fillId="0" borderId="13" xfId="53" applyBorder="1" applyProtection="1">
      <alignment/>
      <protection/>
    </xf>
    <xf numFmtId="0" fontId="0" fillId="0" borderId="0" xfId="53" applyProtection="1">
      <alignment/>
      <protection/>
    </xf>
    <xf numFmtId="0" fontId="0" fillId="0" borderId="0" xfId="53">
      <alignment/>
      <protection/>
    </xf>
    <xf numFmtId="0" fontId="0" fillId="0" borderId="21" xfId="53" applyBorder="1">
      <alignment/>
      <protection/>
    </xf>
    <xf numFmtId="0" fontId="0" fillId="0" borderId="22" xfId="53" applyBorder="1">
      <alignment/>
      <protection/>
    </xf>
    <xf numFmtId="0" fontId="0" fillId="0" borderId="23" xfId="53" applyBorder="1">
      <alignment/>
      <protection/>
    </xf>
    <xf numFmtId="0" fontId="0" fillId="0" borderId="24" xfId="53" applyBorder="1">
      <alignment/>
      <protection/>
    </xf>
    <xf numFmtId="0" fontId="0" fillId="0" borderId="0" xfId="53" applyBorder="1">
      <alignment/>
      <protection/>
    </xf>
    <xf numFmtId="0" fontId="0" fillId="0" borderId="25" xfId="53" applyBorder="1">
      <alignment/>
      <protection/>
    </xf>
    <xf numFmtId="0" fontId="6" fillId="0" borderId="0" xfId="53" applyFont="1" applyBorder="1" applyAlignment="1" applyProtection="1">
      <alignment horizontal="left"/>
      <protection/>
    </xf>
    <xf numFmtId="171" fontId="6" fillId="0" borderId="0" xfId="81" applyFont="1" applyBorder="1" applyAlignment="1" applyProtection="1">
      <alignment horizontal="left"/>
      <protection/>
    </xf>
    <xf numFmtId="0" fontId="17" fillId="0" borderId="25" xfId="53" applyFont="1" applyBorder="1" applyAlignment="1" applyProtection="1">
      <alignment horizontal="left"/>
      <protection/>
    </xf>
    <xf numFmtId="0" fontId="14" fillId="0" borderId="25" xfId="53" applyFont="1" applyBorder="1" applyAlignment="1">
      <alignment vertical="center"/>
      <protection/>
    </xf>
    <xf numFmtId="0" fontId="14" fillId="0" borderId="24" xfId="53" applyFont="1" applyBorder="1" applyAlignment="1">
      <alignment vertical="center"/>
      <protection/>
    </xf>
    <xf numFmtId="0" fontId="14" fillId="0" borderId="0" xfId="53" applyFont="1" applyBorder="1" applyAlignment="1">
      <alignment vertical="center"/>
      <protection/>
    </xf>
    <xf numFmtId="0" fontId="14" fillId="0" borderId="25" xfId="53" applyFont="1" applyBorder="1" applyAlignment="1">
      <alignment vertical="center" wrapText="1"/>
      <protection/>
    </xf>
    <xf numFmtId="0" fontId="5" fillId="0" borderId="24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25" xfId="53" applyFont="1" applyBorder="1" applyAlignment="1">
      <alignment horizontal="center"/>
      <protection/>
    </xf>
    <xf numFmtId="0" fontId="0" fillId="0" borderId="26" xfId="53" applyBorder="1">
      <alignment/>
      <protection/>
    </xf>
    <xf numFmtId="0" fontId="0" fillId="0" borderId="27" xfId="53" applyBorder="1">
      <alignment/>
      <protection/>
    </xf>
    <xf numFmtId="0" fontId="0" fillId="0" borderId="28" xfId="53" applyBorder="1">
      <alignment/>
      <protection/>
    </xf>
    <xf numFmtId="10" fontId="14" fillId="0" borderId="24" xfId="60" applyNumberFormat="1" applyFont="1" applyFill="1" applyBorder="1" applyAlignment="1">
      <alignment vertical="center"/>
    </xf>
    <xf numFmtId="10" fontId="14" fillId="0" borderId="0" xfId="60" applyNumberFormat="1" applyFont="1" applyFill="1" applyBorder="1" applyAlignment="1">
      <alignment vertical="center"/>
    </xf>
    <xf numFmtId="10" fontId="14" fillId="0" borderId="24" xfId="60" applyNumberFormat="1" applyFont="1" applyBorder="1" applyAlignment="1">
      <alignment vertical="center"/>
    </xf>
    <xf numFmtId="10" fontId="14" fillId="0" borderId="0" xfId="6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97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10" fontId="4" fillId="0" borderId="12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43" fontId="4" fillId="0" borderId="12" xfId="62" applyFont="1" applyBorder="1" applyAlignment="1">
      <alignment horizontal="righ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97" fontId="4" fillId="0" borderId="14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43" fontId="4" fillId="0" borderId="12" xfId="62" applyFont="1" applyFill="1" applyBorder="1" applyAlignment="1">
      <alignment horizontal="righ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43" fontId="3" fillId="0" borderId="12" xfId="62" applyFont="1" applyFill="1" applyBorder="1" applyAlignment="1">
      <alignment horizontal="right" vertical="center" wrapText="1"/>
    </xf>
    <xf numFmtId="10" fontId="3" fillId="0" borderId="12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10" fontId="3" fillId="33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18" fillId="0" borderId="10" xfId="56" applyFont="1" applyFill="1" applyBorder="1" applyAlignment="1">
      <alignment horizontal="center" vertical="center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>
      <alignment/>
      <protection/>
    </xf>
    <xf numFmtId="0" fontId="18" fillId="0" borderId="17" xfId="56" applyFont="1" applyFill="1" applyBorder="1" applyAlignment="1">
      <alignment horizontal="center" vertical="center" wrapText="1"/>
      <protection/>
    </xf>
    <xf numFmtId="0" fontId="18" fillId="0" borderId="19" xfId="56" applyFont="1" applyFill="1" applyBorder="1" applyAlignment="1">
      <alignment horizontal="center" vertical="center" wrapText="1"/>
      <protection/>
    </xf>
    <xf numFmtId="0" fontId="20" fillId="0" borderId="20" xfId="56" applyFont="1" applyFill="1" applyBorder="1" applyAlignment="1">
      <alignment horizontal="center" vertical="center" wrapText="1"/>
      <protection/>
    </xf>
    <xf numFmtId="0" fontId="19" fillId="0" borderId="20" xfId="56" applyFont="1" applyFill="1" applyBorder="1">
      <alignment/>
      <protection/>
    </xf>
    <xf numFmtId="0" fontId="8" fillId="35" borderId="12" xfId="56" applyFont="1" applyFill="1" applyBorder="1" applyAlignment="1">
      <alignment horizontal="center" vertical="top"/>
      <protection/>
    </xf>
    <xf numFmtId="0" fontId="8" fillId="35" borderId="12" xfId="56" applyFont="1" applyFill="1" applyBorder="1" applyAlignment="1">
      <alignment horizontal="center" vertical="justify" wrapText="1"/>
      <protection/>
    </xf>
    <xf numFmtId="4" fontId="8" fillId="35" borderId="12" xfId="56" applyNumberFormat="1" applyFont="1" applyFill="1" applyBorder="1" applyAlignment="1">
      <alignment horizontal="center"/>
      <protection/>
    </xf>
    <xf numFmtId="0" fontId="8" fillId="35" borderId="12" xfId="56" applyFont="1" applyFill="1" applyBorder="1" applyAlignment="1">
      <alignment horizontal="center"/>
      <protection/>
    </xf>
    <xf numFmtId="4" fontId="8" fillId="35" borderId="31" xfId="56" applyNumberFormat="1" applyFont="1" applyFill="1" applyBorder="1" applyAlignment="1">
      <alignment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36" borderId="12" xfId="56" applyFont="1" applyFill="1" applyBorder="1" applyAlignment="1">
      <alignment vertical="justify" wrapText="1"/>
      <protection/>
    </xf>
    <xf numFmtId="4" fontId="3" fillId="0" borderId="12" xfId="56" applyNumberFormat="1" applyFont="1" applyFill="1" applyBorder="1" applyAlignment="1">
      <alignment/>
      <protection/>
    </xf>
    <xf numFmtId="49" fontId="8" fillId="35" borderId="12" xfId="56" applyNumberFormat="1" applyFont="1" applyFill="1" applyBorder="1" applyAlignment="1">
      <alignment horizontal="center" vertical="center" wrapText="1"/>
      <protection/>
    </xf>
    <xf numFmtId="0" fontId="8" fillId="35" borderId="12" xfId="56" applyFont="1" applyFill="1" applyBorder="1" applyAlignment="1">
      <alignment vertical="justify" wrapText="1"/>
      <protection/>
    </xf>
    <xf numFmtId="4" fontId="8" fillId="35" borderId="12" xfId="56" applyNumberFormat="1" applyFont="1" applyFill="1" applyBorder="1" applyAlignment="1">
      <alignment/>
      <protection/>
    </xf>
    <xf numFmtId="0" fontId="3" fillId="0" borderId="12" xfId="56" applyFont="1" applyFill="1" applyBorder="1" applyAlignment="1">
      <alignment vertical="justify" wrapText="1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0" fontId="3" fillId="0" borderId="32" xfId="56" applyFont="1" applyFill="1" applyBorder="1" applyAlignment="1">
      <alignment vertical="justify" wrapText="1"/>
      <protection/>
    </xf>
    <xf numFmtId="4" fontId="3" fillId="0" borderId="32" xfId="56" applyNumberFormat="1" applyFont="1" applyFill="1" applyBorder="1" applyAlignment="1">
      <alignment/>
      <protection/>
    </xf>
    <xf numFmtId="0" fontId="8" fillId="35" borderId="12" xfId="56" applyFont="1" applyFill="1" applyBorder="1" applyAlignment="1">
      <alignment horizontal="center" vertical="center" wrapText="1"/>
      <protection/>
    </xf>
    <xf numFmtId="0" fontId="59" fillId="0" borderId="12" xfId="56" applyFont="1" applyFill="1" applyBorder="1" applyAlignment="1">
      <alignment horizontal="center" vertical="center" wrapText="1"/>
      <protection/>
    </xf>
    <xf numFmtId="0" fontId="59" fillId="0" borderId="12" xfId="56" applyFont="1" applyFill="1" applyBorder="1" applyAlignment="1">
      <alignment vertical="justify" wrapText="1"/>
      <protection/>
    </xf>
    <xf numFmtId="4" fontId="59" fillId="0" borderId="12" xfId="56" applyNumberFormat="1" applyFont="1" applyFill="1" applyBorder="1" applyAlignment="1">
      <alignment/>
      <protection/>
    </xf>
    <xf numFmtId="4" fontId="3" fillId="0" borderId="12" xfId="56" applyNumberFormat="1" applyFont="1" applyFill="1" applyBorder="1" applyAlignment="1">
      <alignment vertical="center"/>
      <protection/>
    </xf>
    <xf numFmtId="0" fontId="3" fillId="0" borderId="31" xfId="56" applyFont="1" applyFill="1" applyBorder="1" applyAlignment="1">
      <alignment vertical="justify" wrapText="1"/>
      <protection/>
    </xf>
    <xf numFmtId="4" fontId="3" fillId="0" borderId="31" xfId="56" applyNumberFormat="1" applyFont="1" applyFill="1" applyBorder="1" applyAlignment="1">
      <alignment/>
      <protection/>
    </xf>
    <xf numFmtId="4" fontId="8" fillId="0" borderId="12" xfId="56" applyNumberFormat="1" applyFont="1" applyFill="1" applyBorder="1">
      <alignment/>
      <protection/>
    </xf>
    <xf numFmtId="0" fontId="3" fillId="0" borderId="0" xfId="56" applyFont="1" applyFill="1" applyBorder="1" applyAlignment="1">
      <alignment vertical="top"/>
      <protection/>
    </xf>
    <xf numFmtId="0" fontId="3" fillId="0" borderId="0" xfId="56" applyFont="1" applyFill="1" applyBorder="1" applyAlignment="1">
      <alignment vertical="justify" wrapText="1"/>
      <protection/>
    </xf>
    <xf numFmtId="4" fontId="3" fillId="0" borderId="0" xfId="56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0" fillId="0" borderId="0" xfId="56" applyFont="1" applyFill="1" applyBorder="1" applyAlignment="1">
      <alignment vertical="top"/>
      <protection/>
    </xf>
    <xf numFmtId="0" fontId="0" fillId="0" borderId="0" xfId="56" applyFont="1" applyFill="1" applyBorder="1" applyAlignment="1">
      <alignment vertical="justify" wrapText="1"/>
      <protection/>
    </xf>
    <xf numFmtId="4" fontId="0" fillId="0" borderId="0" xfId="56" applyNumberFormat="1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10" fillId="0" borderId="0" xfId="56" applyFont="1" applyFill="1" applyBorder="1" applyAlignment="1">
      <alignment horizontal="center" vertical="justify" wrapText="1"/>
      <protection/>
    </xf>
    <xf numFmtId="0" fontId="4" fillId="33" borderId="12" xfId="0" applyFont="1" applyFill="1" applyBorder="1" applyAlignment="1">
      <alignment horizontal="center" vertical="center"/>
    </xf>
    <xf numFmtId="43" fontId="60" fillId="0" borderId="0" xfId="0" applyNumberFormat="1" applyFont="1" applyFill="1" applyAlignment="1">
      <alignment vertical="center"/>
    </xf>
    <xf numFmtId="43" fontId="60" fillId="3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3" fontId="4" fillId="0" borderId="0" xfId="62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49" fontId="4" fillId="34" borderId="12" xfId="0" applyNumberFormat="1" applyFont="1" applyFill="1" applyBorder="1" applyAlignment="1">
      <alignment horizontal="right" vertical="center"/>
    </xf>
    <xf numFmtId="49" fontId="4" fillId="33" borderId="3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43" fontId="7" fillId="0" borderId="12" xfId="62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4" fillId="34" borderId="11" xfId="0" applyNumberFormat="1" applyFont="1" applyFill="1" applyBorder="1" applyAlignment="1">
      <alignment horizontal="right" vertical="center"/>
    </xf>
    <xf numFmtId="0" fontId="60" fillId="33" borderId="17" xfId="0" applyFont="1" applyFill="1" applyBorder="1" applyAlignment="1">
      <alignment vertical="center"/>
    </xf>
    <xf numFmtId="171" fontId="60" fillId="33" borderId="0" xfId="0" applyNumberFormat="1" applyFont="1" applyFill="1" applyAlignment="1">
      <alignment vertical="center"/>
    </xf>
    <xf numFmtId="171" fontId="60" fillId="0" borderId="0" xfId="0" applyNumberFormat="1" applyFont="1" applyAlignment="1">
      <alignment vertical="center"/>
    </xf>
    <xf numFmtId="4" fontId="3" fillId="33" borderId="12" xfId="62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43" fontId="4" fillId="0" borderId="0" xfId="62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0" fillId="33" borderId="0" xfId="0" applyFont="1" applyFill="1" applyAlignment="1">
      <alignment horizontal="left" vertical="center"/>
    </xf>
    <xf numFmtId="49" fontId="4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43" fontId="4" fillId="0" borderId="0" xfId="62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197" fontId="4" fillId="0" borderId="12" xfId="0" applyNumberFormat="1" applyFont="1" applyFill="1" applyBorder="1" applyAlignment="1">
      <alignment horizontal="right" vertical="center" wrapText="1"/>
    </xf>
    <xf numFmtId="0" fontId="4" fillId="0" borderId="12" xfId="53" applyFont="1" applyFill="1" applyBorder="1" applyAlignment="1">
      <alignment horizontal="right" vertical="center" wrapText="1"/>
      <protection/>
    </xf>
    <xf numFmtId="43" fontId="4" fillId="0" borderId="12" xfId="62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horizontal="right" vertical="center"/>
    </xf>
    <xf numFmtId="43" fontId="4" fillId="0" borderId="12" xfId="62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0" fontId="60" fillId="0" borderId="17" xfId="0" applyFont="1" applyFill="1" applyBorder="1" applyAlignment="1">
      <alignment horizontal="left" vertical="center"/>
    </xf>
    <xf numFmtId="171" fontId="60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1" fillId="0" borderId="25" xfId="53" applyFont="1" applyBorder="1" applyAlignment="1" applyProtection="1">
      <alignment horizontal="left"/>
      <protection/>
    </xf>
    <xf numFmtId="0" fontId="62" fillId="0" borderId="0" xfId="53" applyFont="1" applyBorder="1" applyAlignment="1" applyProtection="1">
      <alignment horizontal="left"/>
      <protection/>
    </xf>
    <xf numFmtId="171" fontId="62" fillId="0" borderId="0" xfId="81" applyFont="1" applyBorder="1" applyAlignment="1" applyProtection="1">
      <alignment horizontal="left"/>
      <protection/>
    </xf>
    <xf numFmtId="0" fontId="63" fillId="0" borderId="25" xfId="53" applyFont="1" applyBorder="1" applyAlignment="1" applyProtection="1">
      <alignment horizontal="left"/>
      <protection/>
    </xf>
    <xf numFmtId="0" fontId="4" fillId="0" borderId="25" xfId="53" applyFont="1" applyBorder="1" applyAlignment="1" applyProtection="1">
      <alignment horizontal="left"/>
      <protection/>
    </xf>
    <xf numFmtId="0" fontId="14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10" fontId="15" fillId="0" borderId="0" xfId="6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49" fontId="4" fillId="0" borderId="12" xfId="0" applyNumberFormat="1" applyFont="1" applyFill="1" applyBorder="1" applyAlignment="1">
      <alignment horizontal="right"/>
    </xf>
    <xf numFmtId="0" fontId="7" fillId="37" borderId="12" xfId="0" applyFont="1" applyFill="1" applyBorder="1" applyAlignment="1">
      <alignment horizontal="right" vertical="center" wrapText="1"/>
    </xf>
    <xf numFmtId="49" fontId="4" fillId="37" borderId="12" xfId="0" applyNumberFormat="1" applyFont="1" applyFill="1" applyBorder="1" applyAlignment="1">
      <alignment horizontal="right" vertical="center"/>
    </xf>
    <xf numFmtId="0" fontId="7" fillId="37" borderId="12" xfId="0" applyFont="1" applyFill="1" applyBorder="1" applyAlignment="1">
      <alignment vertical="center" wrapText="1"/>
    </xf>
    <xf numFmtId="0" fontId="7" fillId="37" borderId="12" xfId="0" applyFont="1" applyFill="1" applyBorder="1" applyAlignment="1">
      <alignment horizontal="center" vertical="center" wrapText="1"/>
    </xf>
    <xf numFmtId="4" fontId="7" fillId="37" borderId="12" xfId="0" applyNumberFormat="1" applyFont="1" applyFill="1" applyBorder="1" applyAlignment="1">
      <alignment vertical="center" wrapText="1"/>
    </xf>
    <xf numFmtId="10" fontId="7" fillId="37" borderId="12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43" fontId="4" fillId="33" borderId="12" xfId="62" applyFont="1" applyFill="1" applyBorder="1" applyAlignment="1">
      <alignment vertical="center" wrapText="1"/>
    </xf>
    <xf numFmtId="43" fontId="8" fillId="0" borderId="12" xfId="62" applyFont="1" applyFill="1" applyBorder="1" applyAlignment="1">
      <alignment vertical="center"/>
    </xf>
    <xf numFmtId="43" fontId="60" fillId="0" borderId="17" xfId="0" applyNumberFormat="1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wrapText="1"/>
    </xf>
    <xf numFmtId="10" fontId="3" fillId="0" borderId="12" xfId="56" applyNumberFormat="1" applyFont="1" applyFill="1" applyBorder="1" applyAlignment="1">
      <alignment horizontal="right"/>
      <protection/>
    </xf>
    <xf numFmtId="10" fontId="3" fillId="0" borderId="12" xfId="56" applyNumberFormat="1" applyFont="1" applyFill="1" applyBorder="1">
      <alignment/>
      <protection/>
    </xf>
    <xf numFmtId="2" fontId="4" fillId="0" borderId="12" xfId="62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 wrapText="1"/>
    </xf>
    <xf numFmtId="10" fontId="4" fillId="0" borderId="12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10" fontId="7" fillId="0" borderId="12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38" borderId="12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37" borderId="12" xfId="0" applyNumberFormat="1" applyFont="1" applyFill="1" applyBorder="1" applyAlignment="1">
      <alignment horizontal="right" vertical="center" wrapText="1"/>
    </xf>
    <xf numFmtId="0" fontId="4" fillId="38" borderId="12" xfId="0" applyFont="1" applyFill="1" applyBorder="1" applyAlignment="1">
      <alignment vertical="center" wrapText="1"/>
    </xf>
    <xf numFmtId="0" fontId="63" fillId="39" borderId="12" xfId="0" applyFont="1" applyFill="1" applyBorder="1" applyAlignment="1">
      <alignment horizontal="left"/>
    </xf>
    <xf numFmtId="0" fontId="3" fillId="39" borderId="12" xfId="0" applyFont="1" applyFill="1" applyBorder="1" applyAlignment="1">
      <alignment horizontal="left"/>
    </xf>
    <xf numFmtId="0" fontId="3" fillId="39" borderId="12" xfId="0" applyFont="1" applyFill="1" applyBorder="1" applyAlignment="1">
      <alignment horizontal="left" vertical="justify" wrapText="1"/>
    </xf>
    <xf numFmtId="3" fontId="3" fillId="39" borderId="12" xfId="0" applyNumberFormat="1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justify" wrapText="1"/>
    </xf>
    <xf numFmtId="0" fontId="3" fillId="39" borderId="12" xfId="53" applyFont="1" applyFill="1" applyBorder="1" applyAlignment="1">
      <alignment horizontal="left" vertical="center"/>
      <protection/>
    </xf>
    <xf numFmtId="0" fontId="3" fillId="39" borderId="12" xfId="53" applyFont="1" applyFill="1" applyBorder="1" applyAlignment="1">
      <alignment horizontal="left" vertical="center" wrapText="1"/>
      <protection/>
    </xf>
    <xf numFmtId="49" fontId="4" fillId="33" borderId="12" xfId="53" applyNumberFormat="1" applyFont="1" applyFill="1" applyBorder="1" applyAlignment="1">
      <alignment horizontal="left" vertical="center"/>
      <protection/>
    </xf>
    <xf numFmtId="0" fontId="3" fillId="39" borderId="12" xfId="0" applyFont="1" applyFill="1" applyBorder="1" applyAlignment="1">
      <alignment horizontal="left" vertical="center" wrapText="1"/>
    </xf>
    <xf numFmtId="49" fontId="4" fillId="39" borderId="30" xfId="53" applyNumberFormat="1" applyFont="1" applyFill="1" applyBorder="1" applyAlignment="1">
      <alignment horizontal="left" vertical="center"/>
      <protection/>
    </xf>
    <xf numFmtId="49" fontId="4" fillId="39" borderId="12" xfId="53" applyNumberFormat="1" applyFont="1" applyFill="1" applyBorder="1" applyAlignment="1">
      <alignment horizontal="left" vertical="center"/>
      <protection/>
    </xf>
    <xf numFmtId="2" fontId="8" fillId="39" borderId="12" xfId="0" applyNumberFormat="1" applyFont="1" applyFill="1" applyBorder="1" applyAlignment="1">
      <alignment horizontal="left"/>
    </xf>
    <xf numFmtId="0" fontId="3" fillId="39" borderId="12" xfId="52" applyFont="1" applyFill="1" applyBorder="1" applyAlignment="1">
      <alignment horizontal="left" vertical="center" wrapText="1"/>
      <protection/>
    </xf>
    <xf numFmtId="2" fontId="3" fillId="39" borderId="12" xfId="0" applyNumberFormat="1" applyFont="1" applyFill="1" applyBorder="1" applyAlignment="1">
      <alignment horizontal="left"/>
    </xf>
    <xf numFmtId="0" fontId="60" fillId="39" borderId="0" xfId="0" applyFont="1" applyFill="1" applyAlignment="1">
      <alignment horizontal="left" vertical="center"/>
    </xf>
    <xf numFmtId="0" fontId="4" fillId="39" borderId="0" xfId="0" applyFont="1" applyFill="1" applyAlignment="1">
      <alignment horizontal="left" vertical="center"/>
    </xf>
    <xf numFmtId="4" fontId="8" fillId="39" borderId="12" xfId="0" applyNumberFormat="1" applyFont="1" applyFill="1" applyBorder="1" applyAlignment="1">
      <alignment horizontal="left"/>
    </xf>
    <xf numFmtId="4" fontId="8" fillId="39" borderId="12" xfId="0" applyNumberFormat="1" applyFont="1" applyFill="1" applyBorder="1" applyAlignment="1">
      <alignment horizontal="left" vertical="center"/>
    </xf>
    <xf numFmtId="2" fontId="3" fillId="39" borderId="12" xfId="0" applyNumberFormat="1" applyFont="1" applyFill="1" applyBorder="1" applyAlignment="1">
      <alignment horizontal="left" vertical="center"/>
    </xf>
    <xf numFmtId="0" fontId="3" fillId="39" borderId="12" xfId="0" applyFont="1" applyFill="1" applyBorder="1" applyAlignment="1">
      <alignment horizontal="left" wrapText="1"/>
    </xf>
    <xf numFmtId="2" fontId="3" fillId="39" borderId="12" xfId="0" applyNumberFormat="1" applyFont="1" applyFill="1" applyBorder="1" applyAlignment="1">
      <alignment horizontal="left" wrapText="1"/>
    </xf>
    <xf numFmtId="2" fontId="3" fillId="39" borderId="12" xfId="53" applyNumberFormat="1" applyFont="1" applyFill="1" applyBorder="1" applyAlignment="1">
      <alignment horizontal="left" vertical="center"/>
      <protection/>
    </xf>
    <xf numFmtId="2" fontId="3" fillId="39" borderId="12" xfId="0" applyNumberFormat="1" applyFont="1" applyFill="1" applyBorder="1" applyAlignment="1">
      <alignment horizontal="right"/>
    </xf>
    <xf numFmtId="1" fontId="3" fillId="39" borderId="12" xfId="0" applyNumberFormat="1" applyFont="1" applyFill="1" applyBorder="1" applyAlignment="1">
      <alignment horizontal="right" vertical="center"/>
    </xf>
    <xf numFmtId="1" fontId="4" fillId="39" borderId="12" xfId="0" applyNumberFormat="1" applyFont="1" applyFill="1" applyBorder="1" applyAlignment="1">
      <alignment horizontal="right" vertical="center"/>
    </xf>
    <xf numFmtId="0" fontId="3" fillId="39" borderId="12" xfId="0" applyFont="1" applyFill="1" applyBorder="1" applyAlignment="1">
      <alignment horizontal="right"/>
    </xf>
    <xf numFmtId="49" fontId="4" fillId="33" borderId="12" xfId="53" applyNumberFormat="1" applyFont="1" applyFill="1" applyBorder="1" applyAlignment="1">
      <alignment horizontal="right" vertical="center"/>
      <protection/>
    </xf>
    <xf numFmtId="49" fontId="3" fillId="39" borderId="12" xfId="0" applyNumberFormat="1" applyFont="1" applyFill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0" fontId="3" fillId="0" borderId="12" xfId="53" applyFont="1" applyBorder="1" applyAlignment="1">
      <alignment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43" fontId="4" fillId="0" borderId="12" xfId="65" applyNumberFormat="1" applyFont="1" applyFill="1" applyBorder="1" applyAlignment="1">
      <alignment horizontal="right" vertical="center" wrapText="1"/>
    </xf>
    <xf numFmtId="4" fontId="3" fillId="39" borderId="12" xfId="53" applyNumberFormat="1" applyFont="1" applyFill="1" applyBorder="1" applyAlignment="1">
      <alignment horizontal="right" vertical="center"/>
      <protection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3" fontId="4" fillId="0" borderId="12" xfId="79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39" borderId="12" xfId="53" applyFont="1" applyFill="1" applyBorder="1" applyAlignment="1">
      <alignment horizontal="left" vertical="top" wrapText="1"/>
      <protection/>
    </xf>
    <xf numFmtId="2" fontId="3" fillId="39" borderId="12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/>
      <protection/>
    </xf>
    <xf numFmtId="43" fontId="4" fillId="0" borderId="12" xfId="79" applyNumberFormat="1" applyFont="1" applyFill="1" applyBorder="1" applyAlignment="1">
      <alignment horizontal="right" vertical="center" wrapText="1"/>
    </xf>
    <xf numFmtId="0" fontId="3" fillId="0" borderId="12" xfId="53" applyFont="1" applyFill="1" applyBorder="1" applyAlignment="1">
      <alignment horizontal="left"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39" borderId="12" xfId="53" applyFont="1" applyFill="1" applyBorder="1" applyAlignment="1">
      <alignment wrapText="1"/>
      <protection/>
    </xf>
    <xf numFmtId="0" fontId="3" fillId="0" borderId="12" xfId="53" applyFont="1" applyFill="1" applyBorder="1" applyAlignment="1">
      <alignment vertical="center"/>
      <protection/>
    </xf>
    <xf numFmtId="0" fontId="3" fillId="0" borderId="12" xfId="53" applyFont="1" applyFill="1" applyBorder="1" applyAlignment="1">
      <alignment horizontal="left" vertical="top" wrapText="1"/>
      <protection/>
    </xf>
    <xf numFmtId="4" fontId="4" fillId="0" borderId="12" xfId="53" applyNumberFormat="1" applyFont="1" applyFill="1" applyBorder="1" applyAlignment="1">
      <alignment horizontal="right" vertical="center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53" applyFont="1" applyBorder="1" applyAlignment="1">
      <alignment horizontal="left" vertical="center" wrapText="1"/>
      <protection/>
    </xf>
    <xf numFmtId="0" fontId="8" fillId="0" borderId="12" xfId="53" applyFont="1" applyFill="1" applyBorder="1" applyAlignment="1">
      <alignment horizontal="left" vertical="justify" wrapText="1"/>
      <protection/>
    </xf>
    <xf numFmtId="2" fontId="8" fillId="0" borderId="12" xfId="53" applyNumberFormat="1" applyFont="1" applyFill="1" applyBorder="1" applyAlignment="1">
      <alignment horizontal="center" vertical="center"/>
      <protection/>
    </xf>
    <xf numFmtId="4" fontId="8" fillId="0" borderId="12" xfId="53" applyNumberFormat="1" applyFont="1" applyFill="1" applyBorder="1" applyAlignment="1">
      <alignment horizontal="right" vertical="center"/>
      <protection/>
    </xf>
    <xf numFmtId="0" fontId="3" fillId="0" borderId="12" xfId="53" applyFont="1" applyFill="1" applyBorder="1" applyAlignment="1">
      <alignment horizontal="right"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49" fontId="3" fillId="0" borderId="34" xfId="0" applyNumberFormat="1" applyFont="1" applyFill="1" applyBorder="1" applyAlignment="1">
      <alignment horizontal="center" vertical="center" wrapText="1"/>
    </xf>
    <xf numFmtId="0" fontId="8" fillId="0" borderId="12" xfId="52" applyFont="1" applyFill="1" applyBorder="1" applyAlignment="1">
      <alignment vertical="center" wrapText="1"/>
      <protection/>
    </xf>
    <xf numFmtId="2" fontId="3" fillId="0" borderId="12" xfId="65" applyNumberFormat="1" applyFont="1" applyFill="1" applyBorder="1" applyAlignment="1">
      <alignment horizontal="right" vertical="center" wrapText="1"/>
    </xf>
    <xf numFmtId="2" fontId="3" fillId="0" borderId="12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0" fontId="3" fillId="0" borderId="30" xfId="53" applyFont="1" applyFill="1" applyBorder="1" applyAlignment="1">
      <alignment horizontal="left" vertical="center"/>
      <protection/>
    </xf>
    <xf numFmtId="0" fontId="4" fillId="0" borderId="12" xfId="53" applyNumberFormat="1" applyFont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left" vertical="center"/>
      <protection/>
    </xf>
    <xf numFmtId="2" fontId="3" fillId="0" borderId="0" xfId="53" applyNumberFormat="1" applyFont="1" applyFill="1" applyBorder="1" applyAlignment="1">
      <alignment horizontal="left" vertical="center"/>
      <protection/>
    </xf>
    <xf numFmtId="49" fontId="4" fillId="0" borderId="30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3" fillId="0" borderId="12" xfId="53" applyFont="1" applyFill="1" applyBorder="1" applyAlignment="1">
      <alignment horizontal="left" vertical="center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0" fontId="4" fillId="0" borderId="12" xfId="53" applyNumberFormat="1" applyFont="1" applyFill="1" applyBorder="1" applyAlignment="1">
      <alignment horizontal="left" vertical="center"/>
      <protection/>
    </xf>
    <xf numFmtId="0" fontId="3" fillId="39" borderId="12" xfId="53" applyFont="1" applyFill="1" applyBorder="1" applyAlignment="1">
      <alignment vertical="center" wrapText="1"/>
      <protection/>
    </xf>
    <xf numFmtId="2" fontId="8" fillId="0" borderId="12" xfId="53" applyNumberFormat="1" applyFont="1" applyFill="1" applyBorder="1" applyAlignment="1">
      <alignment horizontal="center"/>
      <protection/>
    </xf>
    <xf numFmtId="4" fontId="8" fillId="0" borderId="12" xfId="53" applyNumberFormat="1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 wrapText="1"/>
      <protection/>
    </xf>
    <xf numFmtId="43" fontId="4" fillId="0" borderId="12" xfId="80" applyNumberFormat="1" applyFont="1" applyFill="1" applyBorder="1" applyAlignment="1">
      <alignment vertical="center" wrapText="1"/>
    </xf>
    <xf numFmtId="0" fontId="3" fillId="0" borderId="12" xfId="53" applyFont="1" applyBorder="1" applyAlignment="1">
      <alignment horizontal="center" wrapText="1"/>
      <protection/>
    </xf>
    <xf numFmtId="43" fontId="4" fillId="0" borderId="12" xfId="80" applyNumberFormat="1" applyFont="1" applyFill="1" applyBorder="1" applyAlignment="1">
      <alignment horizontal="right" vertical="center" wrapText="1"/>
    </xf>
    <xf numFmtId="0" fontId="3" fillId="0" borderId="12" xfId="53" applyFont="1" applyFill="1" applyBorder="1" applyAlignment="1">
      <alignment vertical="justify" wrapText="1"/>
      <protection/>
    </xf>
    <xf numFmtId="4" fontId="3" fillId="0" borderId="12" xfId="53" applyNumberFormat="1" applyFont="1" applyFill="1" applyBorder="1" applyAlignment="1">
      <alignment horizontal="right"/>
      <protection/>
    </xf>
    <xf numFmtId="2" fontId="3" fillId="0" borderId="12" xfId="53" applyNumberFormat="1" applyFont="1" applyFill="1" applyBorder="1" applyAlignment="1">
      <alignment horizontal="center" wrapText="1"/>
      <protection/>
    </xf>
    <xf numFmtId="43" fontId="4" fillId="0" borderId="12" xfId="78" applyNumberFormat="1" applyFont="1" applyFill="1" applyBorder="1" applyAlignment="1">
      <alignment horizontal="right" vertical="center" wrapText="1"/>
    </xf>
    <xf numFmtId="49" fontId="4" fillId="0" borderId="12" xfId="53" applyNumberFormat="1" applyFont="1" applyBorder="1" applyAlignment="1">
      <alignment horizontal="left" vertical="center"/>
      <protection/>
    </xf>
    <xf numFmtId="49" fontId="4" fillId="0" borderId="30" xfId="53" applyNumberFormat="1" applyFont="1" applyFill="1" applyBorder="1" applyAlignment="1">
      <alignment horizontal="left" vertical="center"/>
      <protection/>
    </xf>
    <xf numFmtId="0" fontId="3" fillId="0" borderId="12" xfId="0" applyFont="1" applyFill="1" applyBorder="1" applyAlignment="1">
      <alignment vertical="justify" wrapText="1"/>
    </xf>
    <xf numFmtId="202" fontId="3" fillId="0" borderId="12" xfId="65" applyNumberFormat="1" applyFont="1" applyFill="1" applyBorder="1" applyAlignment="1">
      <alignment horizontal="right" vertical="center" wrapText="1"/>
    </xf>
    <xf numFmtId="202" fontId="3" fillId="39" borderId="12" xfId="65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202" fontId="4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wrapText="1"/>
    </xf>
    <xf numFmtId="0" fontId="63" fillId="0" borderId="12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right" vertical="center"/>
    </xf>
    <xf numFmtId="4" fontId="63" fillId="0" borderId="12" xfId="0" applyNumberFormat="1" applyFont="1" applyFill="1" applyBorder="1" applyAlignment="1">
      <alignment horizontal="right" vertical="center"/>
    </xf>
    <xf numFmtId="202" fontId="7" fillId="0" borderId="12" xfId="0" applyNumberFormat="1" applyFont="1" applyFill="1" applyBorder="1" applyAlignment="1">
      <alignment horizontal="right" vertical="center" wrapText="1"/>
    </xf>
    <xf numFmtId="0" fontId="3" fillId="39" borderId="30" xfId="53" applyFont="1" applyFill="1" applyBorder="1">
      <alignment/>
      <protection/>
    </xf>
    <xf numFmtId="0" fontId="3" fillId="39" borderId="12" xfId="53" applyFont="1" applyFill="1" applyBorder="1" applyAlignment="1">
      <alignment horizontal="left"/>
      <protection/>
    </xf>
    <xf numFmtId="0" fontId="3" fillId="0" borderId="3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6" fontId="9" fillId="39" borderId="12" xfId="6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39" borderId="30" xfId="0" applyFont="1" applyFill="1" applyBorder="1" applyAlignment="1">
      <alignment/>
    </xf>
    <xf numFmtId="0" fontId="3" fillId="0" borderId="30" xfId="53" applyFont="1" applyFill="1" applyBorder="1">
      <alignment/>
      <protection/>
    </xf>
    <xf numFmtId="0" fontId="3" fillId="0" borderId="12" xfId="53" applyFont="1" applyFill="1" applyBorder="1" applyAlignment="1">
      <alignment horizontal="left"/>
      <protection/>
    </xf>
    <xf numFmtId="49" fontId="4" fillId="39" borderId="30" xfId="0" applyNumberFormat="1" applyFont="1" applyFill="1" applyBorder="1" applyAlignment="1">
      <alignment horizontal="left" vertical="center"/>
    </xf>
    <xf numFmtId="49" fontId="3" fillId="39" borderId="12" xfId="0" applyNumberFormat="1" applyFont="1" applyFill="1" applyBorder="1" applyAlignment="1">
      <alignment horizontal="left" vertical="center"/>
    </xf>
    <xf numFmtId="0" fontId="63" fillId="0" borderId="12" xfId="53" applyFont="1" applyFill="1" applyBorder="1" applyAlignment="1">
      <alignment vertical="justify" wrapText="1"/>
      <protection/>
    </xf>
    <xf numFmtId="0" fontId="64" fillId="0" borderId="12" xfId="53" applyFont="1" applyFill="1" applyBorder="1" applyAlignment="1">
      <alignment horizontal="center" vertical="center" wrapText="1"/>
      <protection/>
    </xf>
    <xf numFmtId="0" fontId="63" fillId="0" borderId="12" xfId="53" applyFont="1" applyFill="1" applyBorder="1" applyAlignment="1">
      <alignment vertical="center" wrapText="1"/>
      <protection/>
    </xf>
    <xf numFmtId="0" fontId="63" fillId="0" borderId="12" xfId="53" applyFont="1" applyFill="1" applyBorder="1" applyAlignment="1">
      <alignment horizontal="center" vertical="center"/>
      <protection/>
    </xf>
    <xf numFmtId="0" fontId="63" fillId="0" borderId="35" xfId="53" applyFont="1" applyFill="1" applyBorder="1" applyAlignment="1">
      <alignment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right" vertical="center" wrapText="1"/>
    </xf>
    <xf numFmtId="202" fontId="8" fillId="0" borderId="12" xfId="0" applyNumberFormat="1" applyFont="1" applyFill="1" applyBorder="1" applyAlignment="1">
      <alignment horizontal="right" vertical="center"/>
    </xf>
    <xf numFmtId="202" fontId="3" fillId="0" borderId="12" xfId="79" applyNumberFormat="1" applyFont="1" applyFill="1" applyBorder="1" applyAlignment="1">
      <alignment horizontal="right" vertical="center" wrapText="1"/>
    </xf>
    <xf numFmtId="202" fontId="8" fillId="0" borderId="12" xfId="53" applyNumberFormat="1" applyFont="1" applyFill="1" applyBorder="1" applyAlignment="1">
      <alignment horizontal="right" vertical="center"/>
      <protection/>
    </xf>
    <xf numFmtId="202" fontId="3" fillId="0" borderId="12" xfId="53" applyNumberFormat="1" applyFont="1" applyFill="1" applyBorder="1" applyAlignment="1">
      <alignment horizontal="right" vertical="center"/>
      <protection/>
    </xf>
    <xf numFmtId="202" fontId="3" fillId="39" borderId="12" xfId="53" applyNumberFormat="1" applyFont="1" applyFill="1" applyBorder="1" applyAlignment="1">
      <alignment horizontal="right" vertical="center"/>
      <protection/>
    </xf>
    <xf numFmtId="202" fontId="3" fillId="0" borderId="12" xfId="53" applyNumberFormat="1" applyFont="1" applyFill="1" applyBorder="1" applyAlignment="1" applyProtection="1">
      <alignment horizontal="right" vertical="center" wrapText="1"/>
      <protection locked="0"/>
    </xf>
    <xf numFmtId="202" fontId="3" fillId="0" borderId="12" xfId="0" applyNumberFormat="1" applyFont="1" applyFill="1" applyBorder="1" applyAlignment="1">
      <alignment horizontal="right" vertical="center"/>
    </xf>
    <xf numFmtId="202" fontId="3" fillId="0" borderId="12" xfId="53" applyNumberFormat="1" applyFont="1" applyFill="1" applyBorder="1" applyAlignment="1">
      <alignment horizontal="right" vertical="center" wrapText="1"/>
      <protection/>
    </xf>
    <xf numFmtId="202" fontId="3" fillId="0" borderId="12" xfId="80" applyNumberFormat="1" applyFont="1" applyFill="1" applyBorder="1" applyAlignment="1">
      <alignment horizontal="right" vertical="center" wrapText="1"/>
    </xf>
    <xf numFmtId="202" fontId="3" fillId="0" borderId="12" xfId="78" applyNumberFormat="1" applyFont="1" applyFill="1" applyBorder="1" applyAlignment="1">
      <alignment horizontal="right" vertical="center" wrapText="1"/>
    </xf>
    <xf numFmtId="202" fontId="63" fillId="0" borderId="12" xfId="0" applyNumberFormat="1" applyFont="1" applyFill="1" applyBorder="1" applyAlignment="1">
      <alignment horizontal="right" vertical="center"/>
    </xf>
    <xf numFmtId="202" fontId="3" fillId="39" borderId="12" xfId="79" applyNumberFormat="1" applyFont="1" applyFill="1" applyBorder="1" applyAlignment="1">
      <alignment horizontal="right" vertical="center" wrapText="1"/>
    </xf>
    <xf numFmtId="202" fontId="8" fillId="0" borderId="12" xfId="53" applyNumberFormat="1" applyFont="1" applyFill="1" applyBorder="1" applyAlignment="1">
      <alignment horizontal="right" vertical="center" wrapText="1"/>
      <protection/>
    </xf>
    <xf numFmtId="202" fontId="64" fillId="0" borderId="12" xfId="53" applyNumberFormat="1" applyFont="1" applyFill="1" applyBorder="1" applyAlignment="1">
      <alignment horizontal="right" vertical="center" wrapText="1"/>
      <protection/>
    </xf>
    <xf numFmtId="202" fontId="63" fillId="0" borderId="12" xfId="53" applyNumberFormat="1" applyFont="1" applyFill="1" applyBorder="1" applyAlignment="1">
      <alignment horizontal="right" vertical="center"/>
      <protection/>
    </xf>
    <xf numFmtId="202" fontId="3" fillId="39" borderId="12" xfId="0" applyNumberFormat="1" applyFont="1" applyFill="1" applyBorder="1" applyAlignment="1">
      <alignment horizontal="right" vertical="center"/>
    </xf>
    <xf numFmtId="202" fontId="3" fillId="39" borderId="12" xfId="0" applyNumberFormat="1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justify" wrapText="1"/>
    </xf>
    <xf numFmtId="0" fontId="7" fillId="37" borderId="10" xfId="0" applyFont="1" applyFill="1" applyBorder="1" applyAlignment="1">
      <alignment horizontal="right" vertical="center" wrapText="1"/>
    </xf>
    <xf numFmtId="49" fontId="4" fillId="37" borderId="32" xfId="0" applyNumberFormat="1" applyFont="1" applyFill="1" applyBorder="1" applyAlignment="1">
      <alignment horizontal="right" vertical="center"/>
    </xf>
    <xf numFmtId="0" fontId="8" fillId="37" borderId="32" xfId="0" applyFont="1" applyFill="1" applyBorder="1" applyAlignment="1">
      <alignment vertical="center" wrapText="1"/>
    </xf>
    <xf numFmtId="4" fontId="3" fillId="37" borderId="10" xfId="0" applyNumberFormat="1" applyFont="1" applyFill="1" applyBorder="1" applyAlignment="1">
      <alignment horizontal="right" vertical="center"/>
    </xf>
    <xf numFmtId="0" fontId="8" fillId="37" borderId="32" xfId="0" applyFont="1" applyFill="1" applyBorder="1" applyAlignment="1">
      <alignment horizontal="center" vertical="center" wrapText="1"/>
    </xf>
    <xf numFmtId="4" fontId="3" fillId="37" borderId="32" xfId="0" applyNumberFormat="1" applyFont="1" applyFill="1" applyBorder="1" applyAlignment="1">
      <alignment horizontal="right" vertical="center"/>
    </xf>
    <xf numFmtId="4" fontId="7" fillId="37" borderId="32" xfId="0" applyNumberFormat="1" applyFont="1" applyFill="1" applyBorder="1" applyAlignment="1">
      <alignment horizontal="right" vertical="center" wrapText="1"/>
    </xf>
    <xf numFmtId="4" fontId="7" fillId="37" borderId="32" xfId="0" applyNumberFormat="1" applyFont="1" applyFill="1" applyBorder="1" applyAlignment="1">
      <alignment horizontal="right" vertical="center" wrapText="1"/>
    </xf>
    <xf numFmtId="10" fontId="7" fillId="37" borderId="32" xfId="0" applyNumberFormat="1" applyFont="1" applyFill="1" applyBorder="1" applyAlignment="1">
      <alignment vertical="center"/>
    </xf>
    <xf numFmtId="0" fontId="60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2" fontId="3" fillId="39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right" vertical="center" wrapText="1"/>
    </xf>
    <xf numFmtId="0" fontId="6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2" fontId="3" fillId="0" borderId="12" xfId="53" applyNumberFormat="1" applyFont="1" applyFill="1" applyBorder="1" applyAlignment="1">
      <alignment horizontal="left" vertical="center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10" fontId="8" fillId="0" borderId="12" xfId="53" applyNumberFormat="1" applyFont="1" applyFill="1" applyBorder="1" applyAlignment="1">
      <alignment horizontal="center"/>
      <protection/>
    </xf>
    <xf numFmtId="0" fontId="6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3" fillId="0" borderId="12" xfId="52" applyFont="1" applyFill="1" applyBorder="1" applyAlignment="1">
      <alignment horizontal="right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left" vertical="center" wrapText="1"/>
      <protection/>
    </xf>
    <xf numFmtId="2" fontId="3" fillId="0" borderId="12" xfId="52" applyNumberFormat="1" applyFont="1" applyFill="1" applyBorder="1" applyAlignment="1">
      <alignment horizontal="left" vertical="center"/>
      <protection/>
    </xf>
    <xf numFmtId="4" fontId="3" fillId="0" borderId="12" xfId="52" applyNumberFormat="1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horizontal="center" vertical="justify" wrapText="1"/>
    </xf>
    <xf numFmtId="10" fontId="7" fillId="34" borderId="30" xfId="0" applyNumberFormat="1" applyFont="1" applyFill="1" applyBorder="1" applyAlignment="1">
      <alignment vertical="center" wrapText="1"/>
    </xf>
    <xf numFmtId="0" fontId="8" fillId="35" borderId="11" xfId="56" applyFont="1" applyFill="1" applyBorder="1" applyAlignment="1">
      <alignment horizontal="right" vertical="justify" wrapText="1"/>
      <protection/>
    </xf>
    <xf numFmtId="10" fontId="8" fillId="35" borderId="30" xfId="56" applyNumberFormat="1" applyFont="1" applyFill="1" applyBorder="1" applyAlignment="1">
      <alignment vertical="justify" wrapText="1"/>
      <protection/>
    </xf>
    <xf numFmtId="4" fontId="63" fillId="0" borderId="12" xfId="53" applyNumberFormat="1" applyFont="1" applyFill="1" applyBorder="1" applyAlignment="1">
      <alignment horizontal="right" vertical="center"/>
      <protection/>
    </xf>
    <xf numFmtId="43" fontId="4" fillId="0" borderId="12" xfId="69" applyFont="1" applyBorder="1" applyAlignment="1">
      <alignment horizontal="right" vertical="center" wrapText="1"/>
    </xf>
    <xf numFmtId="197" fontId="4" fillId="0" borderId="14" xfId="69" applyNumberFormat="1" applyFont="1" applyFill="1" applyBorder="1" applyAlignment="1" applyProtection="1">
      <alignment horizontal="right" vertical="center" wrapText="1"/>
      <protection/>
    </xf>
    <xf numFmtId="0" fontId="5" fillId="0" borderId="17" xfId="53" applyFont="1" applyBorder="1" applyAlignment="1" applyProtection="1">
      <alignment horizontal="center"/>
      <protection locked="0"/>
    </xf>
    <xf numFmtId="0" fontId="5" fillId="0" borderId="0" xfId="53" applyFont="1" applyBorder="1" applyAlignment="1" applyProtection="1">
      <alignment horizontal="center"/>
      <protection locked="0"/>
    </xf>
    <xf numFmtId="0" fontId="5" fillId="0" borderId="18" xfId="53" applyFont="1" applyBorder="1" applyAlignment="1" applyProtection="1">
      <alignment horizontal="center"/>
      <protection locked="0"/>
    </xf>
    <xf numFmtId="0" fontId="11" fillId="0" borderId="17" xfId="53" applyFont="1" applyBorder="1" applyAlignment="1" applyProtection="1">
      <alignment horizontal="center"/>
      <protection locked="0"/>
    </xf>
    <xf numFmtId="0" fontId="11" fillId="0" borderId="0" xfId="53" applyFont="1" applyBorder="1" applyAlignment="1" applyProtection="1">
      <alignment horizontal="center"/>
      <protection locked="0"/>
    </xf>
    <xf numFmtId="0" fontId="11" fillId="0" borderId="18" xfId="53" applyFont="1" applyBorder="1" applyAlignment="1" applyProtection="1">
      <alignment horizontal="center"/>
      <protection locked="0"/>
    </xf>
    <xf numFmtId="171" fontId="10" fillId="0" borderId="25" xfId="81" applyFont="1" applyFill="1" applyBorder="1" applyAlignment="1" applyProtection="1">
      <alignment horizontal="center" vertical="center"/>
      <protection/>
    </xf>
    <xf numFmtId="171" fontId="10" fillId="0" borderId="0" xfId="81" applyFont="1" applyFill="1" applyBorder="1" applyAlignment="1" applyProtection="1">
      <alignment horizontal="center" vertical="center"/>
      <protection/>
    </xf>
    <xf numFmtId="171" fontId="10" fillId="0" borderId="24" xfId="81" applyFont="1" applyFill="1" applyBorder="1" applyAlignment="1" applyProtection="1">
      <alignment horizontal="center" vertical="center"/>
      <protection/>
    </xf>
    <xf numFmtId="0" fontId="16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171" fontId="6" fillId="0" borderId="25" xfId="81" applyFont="1" applyBorder="1" applyAlignment="1" applyProtection="1">
      <alignment horizontal="right"/>
      <protection locked="0"/>
    </xf>
    <xf numFmtId="171" fontId="6" fillId="0" borderId="0" xfId="81" applyFont="1" applyBorder="1" applyAlignment="1" applyProtection="1">
      <alignment horizontal="right"/>
      <protection locked="0"/>
    </xf>
    <xf numFmtId="171" fontId="6" fillId="0" borderId="24" xfId="81" applyFont="1" applyBorder="1" applyAlignment="1" applyProtection="1">
      <alignment horizontal="right"/>
      <protection locked="0"/>
    </xf>
    <xf numFmtId="0" fontId="0" fillId="0" borderId="25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16" fillId="0" borderId="25" xfId="53" applyFont="1" applyBorder="1" applyAlignment="1">
      <alignment horizontal="center"/>
      <protection/>
    </xf>
    <xf numFmtId="0" fontId="16" fillId="0" borderId="0" xfId="53" applyFont="1" applyBorder="1" applyAlignment="1">
      <alignment horizontal="center"/>
      <protection/>
    </xf>
    <xf numFmtId="0" fontId="16" fillId="0" borderId="24" xfId="53" applyFont="1" applyBorder="1" applyAlignment="1">
      <alignment horizontal="center"/>
      <protection/>
    </xf>
    <xf numFmtId="0" fontId="5" fillId="0" borderId="25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24" xfId="53" applyFont="1" applyBorder="1" applyAlignment="1">
      <alignment horizontal="center"/>
      <protection/>
    </xf>
    <xf numFmtId="0" fontId="15" fillId="0" borderId="25" xfId="53" applyFont="1" applyBorder="1" applyAlignment="1">
      <alignment horizontal="left" vertical="center"/>
      <protection/>
    </xf>
    <xf numFmtId="0" fontId="15" fillId="0" borderId="0" xfId="53" applyFont="1" applyBorder="1" applyAlignment="1">
      <alignment horizontal="left" vertical="center"/>
      <protection/>
    </xf>
    <xf numFmtId="0" fontId="15" fillId="0" borderId="24" xfId="53" applyFont="1" applyBorder="1" applyAlignment="1">
      <alignment horizontal="left" vertical="center"/>
      <protection/>
    </xf>
    <xf numFmtId="0" fontId="14" fillId="0" borderId="25" xfId="53" applyFont="1" applyBorder="1" applyAlignment="1">
      <alignment vertical="center"/>
      <protection/>
    </xf>
    <xf numFmtId="0" fontId="14" fillId="0" borderId="0" xfId="53" applyFont="1" applyBorder="1" applyAlignment="1">
      <alignment vertical="center"/>
      <protection/>
    </xf>
    <xf numFmtId="0" fontId="14" fillId="0" borderId="0" xfId="53" applyFont="1" applyBorder="1" applyAlignment="1">
      <alignment horizontal="left" vertical="center"/>
      <protection/>
    </xf>
    <xf numFmtId="199" fontId="14" fillId="0" borderId="0" xfId="53" applyNumberFormat="1" applyFont="1" applyBorder="1" applyAlignment="1">
      <alignment horizontal="left" vertical="center"/>
      <protection/>
    </xf>
    <xf numFmtId="199" fontId="14" fillId="0" borderId="24" xfId="53" applyNumberFormat="1" applyFont="1" applyBorder="1" applyAlignment="1">
      <alignment horizontal="left" vertical="center"/>
      <protection/>
    </xf>
    <xf numFmtId="0" fontId="0" fillId="0" borderId="0" xfId="53" applyAlignment="1">
      <alignment horizontal="left" vertical="center"/>
      <protection/>
    </xf>
    <xf numFmtId="171" fontId="62" fillId="0" borderId="25" xfId="81" applyFont="1" applyBorder="1" applyAlignment="1" applyProtection="1">
      <alignment horizontal="right"/>
      <protection locked="0"/>
    </xf>
    <xf numFmtId="171" fontId="62" fillId="0" borderId="0" xfId="81" applyFont="1" applyBorder="1" applyAlignment="1" applyProtection="1">
      <alignment horizontal="right"/>
      <protection locked="0"/>
    </xf>
    <xf numFmtId="171" fontId="62" fillId="0" borderId="24" xfId="8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 vertical="center"/>
    </xf>
    <xf numFmtId="0" fontId="3" fillId="0" borderId="30" xfId="53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horizontal="left" vertical="center"/>
      <protection/>
    </xf>
    <xf numFmtId="0" fontId="3" fillId="0" borderId="11" xfId="53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left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4" fontId="6" fillId="0" borderId="35" xfId="0" applyNumberFormat="1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left" vertical="center"/>
    </xf>
    <xf numFmtId="43" fontId="0" fillId="0" borderId="11" xfId="62" applyFont="1" applyFill="1" applyBorder="1" applyAlignment="1">
      <alignment horizontal="right" vertical="center" wrapText="1"/>
    </xf>
    <xf numFmtId="43" fontId="0" fillId="0" borderId="35" xfId="62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right" vertical="center" wrapText="1"/>
    </xf>
    <xf numFmtId="0" fontId="7" fillId="34" borderId="35" xfId="0" applyFont="1" applyFill="1" applyBorder="1" applyAlignment="1">
      <alignment horizontal="right" vertical="center" wrapText="1"/>
    </xf>
    <xf numFmtId="0" fontId="7" fillId="34" borderId="30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12" xfId="56" applyFont="1" applyFill="1" applyBorder="1" applyAlignment="1">
      <alignment horizontal="right" vertical="center" wrapText="1"/>
      <protection/>
    </xf>
    <xf numFmtId="0" fontId="9" fillId="0" borderId="12" xfId="56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2" xfId="56" applyFont="1" applyFill="1" applyBorder="1" applyAlignment="1">
      <alignment horizontal="left" vertical="center"/>
      <protection/>
    </xf>
    <xf numFmtId="2" fontId="9" fillId="0" borderId="12" xfId="56" applyNumberFormat="1" applyFont="1" applyFill="1" applyBorder="1" applyAlignment="1">
      <alignment horizontal="left" vertical="center" wrapText="1"/>
      <protection/>
    </xf>
    <xf numFmtId="0" fontId="8" fillId="35" borderId="12" xfId="56" applyFont="1" applyFill="1" applyBorder="1" applyAlignment="1">
      <alignment horizontal="right" vertical="justify" wrapText="1"/>
      <protection/>
    </xf>
    <xf numFmtId="0" fontId="3" fillId="0" borderId="11" xfId="56" applyFont="1" applyFill="1" applyBorder="1" applyAlignment="1">
      <alignment horizontal="center" vertical="top"/>
      <protection/>
    </xf>
    <xf numFmtId="0" fontId="3" fillId="0" borderId="35" xfId="56" applyFont="1" applyFill="1" applyBorder="1" applyAlignment="1">
      <alignment horizontal="center" vertical="top"/>
      <protection/>
    </xf>
    <xf numFmtId="0" fontId="3" fillId="0" borderId="20" xfId="56" applyFont="1" applyFill="1" applyBorder="1" applyAlignment="1">
      <alignment horizontal="center" vertical="top"/>
      <protection/>
    </xf>
    <xf numFmtId="2" fontId="8" fillId="35" borderId="12" xfId="56" applyNumberFormat="1" applyFont="1" applyFill="1" applyBorder="1" applyAlignment="1">
      <alignment horizontal="center" vertical="top"/>
      <protection/>
    </xf>
    <xf numFmtId="49" fontId="3" fillId="0" borderId="12" xfId="53" applyNumberFormat="1" applyFont="1" applyFill="1" applyBorder="1" applyAlignment="1">
      <alignment horizontal="right" vertical="center" wrapText="1"/>
      <protection/>
    </xf>
    <xf numFmtId="49" fontId="3" fillId="0" borderId="12" xfId="0" applyNumberFormat="1" applyFont="1" applyFill="1" applyBorder="1" applyAlignment="1">
      <alignment horizontal="right" vertic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10" xfId="53"/>
    <cellStyle name="Normal 3" xfId="54"/>
    <cellStyle name="Normal 4" xfId="55"/>
    <cellStyle name="Normal 5" xfId="56"/>
    <cellStyle name="Normal 7" xfId="57"/>
    <cellStyle name="Nota" xfId="58"/>
    <cellStyle name="Percent" xfId="59"/>
    <cellStyle name="Porcentagem 2" xfId="60"/>
    <cellStyle name="Saída" xfId="61"/>
    <cellStyle name="Comma" xfId="62"/>
    <cellStyle name="Comma [0]" xfId="63"/>
    <cellStyle name="Separador de milhares 2" xfId="64"/>
    <cellStyle name="Separador de milhares 2 2" xfId="65"/>
    <cellStyle name="Separador de milhares 3" xfId="66"/>
    <cellStyle name="Separador de milhares 4" xfId="67"/>
    <cellStyle name="Separador de milhares 5" xfId="68"/>
    <cellStyle name="Separador de milhares 6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Vírgula 2" xfId="78"/>
    <cellStyle name="Vírgula 3" xfId="79"/>
    <cellStyle name="Vírgula 3 2" xfId="80"/>
    <cellStyle name="Vírgula 4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142875</xdr:rowOff>
    </xdr:from>
    <xdr:to>
      <xdr:col>5</xdr:col>
      <xdr:colOff>466725</xdr:colOff>
      <xdr:row>8</xdr:row>
      <xdr:rowOff>76200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304800"/>
          <a:ext cx="981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1</xdr:col>
      <xdr:colOff>504825</xdr:colOff>
      <xdr:row>7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438150</xdr:colOff>
      <xdr:row>7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457200</xdr:colOff>
      <xdr:row>7</xdr:row>
      <xdr:rowOff>0</xdr:rowOff>
    </xdr:to>
    <xdr:pic>
      <xdr:nvPicPr>
        <xdr:cNvPr id="1" name="Picture 12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154</xdr:row>
      <xdr:rowOff>0</xdr:rowOff>
    </xdr:from>
    <xdr:to>
      <xdr:col>12</xdr:col>
      <xdr:colOff>9525</xdr:colOff>
      <xdr:row>154</xdr:row>
      <xdr:rowOff>9525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2703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38100</xdr:rowOff>
    </xdr:from>
    <xdr:to>
      <xdr:col>1</xdr:col>
      <xdr:colOff>619125</xdr:colOff>
      <xdr:row>3</xdr:row>
      <xdr:rowOff>19050</xdr:rowOff>
    </xdr:to>
    <xdr:pic>
      <xdr:nvPicPr>
        <xdr:cNvPr id="2" name="Picture 12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10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1</xdr:row>
      <xdr:rowOff>152400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1</xdr:row>
      <xdr:rowOff>333375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0</xdr:col>
      <xdr:colOff>1000125</xdr:colOff>
      <xdr:row>2</xdr:row>
      <xdr:rowOff>104775</xdr:rowOff>
    </xdr:to>
    <xdr:pic>
      <xdr:nvPicPr>
        <xdr:cNvPr id="3" name="Picture 128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2\hd%20inteiro%20do%20server\Users\M&#225;rio%20Ricardo\Desktop\OR&#199;AMENTO\REDE%20CAMPUS%20SAMAMBAIA\ORC+REDE+ELETRICA+QD+REUNI+-+LICITAC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lantação-subestação"/>
      <sheetName val="CURVA ABC"/>
      <sheetName val="CRONOGRAMA"/>
    </sheetNames>
    <sheetDataSet>
      <sheetData sheetId="0">
        <row r="8">
          <cell r="A8" t="str">
            <v>1</v>
          </cell>
        </row>
        <row r="12">
          <cell r="A12" t="str">
            <v>2</v>
          </cell>
        </row>
        <row r="20">
          <cell r="A20" t="str">
            <v>3</v>
          </cell>
        </row>
        <row r="25">
          <cell r="A25">
            <v>4</v>
          </cell>
        </row>
        <row r="27">
          <cell r="A27" t="str">
            <v>5</v>
          </cell>
        </row>
        <row r="35">
          <cell r="A35" t="str">
            <v>6</v>
          </cell>
        </row>
        <row r="41">
          <cell r="A41" t="str">
            <v>7</v>
          </cell>
        </row>
        <row r="45">
          <cell r="A45" t="str">
            <v>8</v>
          </cell>
        </row>
        <row r="51">
          <cell r="A51">
            <v>9</v>
          </cell>
        </row>
        <row r="53">
          <cell r="A53" t="str">
            <v>10</v>
          </cell>
        </row>
        <row r="55">
          <cell r="A55" t="str">
            <v>11</v>
          </cell>
        </row>
        <row r="59">
          <cell r="A59" t="str">
            <v>12</v>
          </cell>
        </row>
        <row r="62">
          <cell r="A62" t="str">
            <v>13</v>
          </cell>
        </row>
        <row r="65">
          <cell r="A65" t="str">
            <v>14</v>
          </cell>
        </row>
        <row r="70">
          <cell r="A70" t="str">
            <v>15</v>
          </cell>
        </row>
        <row r="72">
          <cell r="A72" t="str">
            <v>16</v>
          </cell>
        </row>
        <row r="290">
          <cell r="A290" t="str">
            <v>17</v>
          </cell>
        </row>
        <row r="292">
          <cell r="A292" t="str">
            <v>18</v>
          </cell>
        </row>
        <row r="298">
          <cell r="A298" t="str">
            <v>19</v>
          </cell>
        </row>
        <row r="300">
          <cell r="A300">
            <v>20</v>
          </cell>
        </row>
        <row r="302">
          <cell r="A30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90" zoomScaleSheetLayoutView="90" zoomScalePageLayoutView="0" workbookViewId="0" topLeftCell="A1">
      <selection activeCell="D42" sqref="D42"/>
    </sheetView>
  </sheetViews>
  <sheetFormatPr defaultColWidth="9.140625" defaultRowHeight="12.75"/>
  <cols>
    <col min="1" max="10" width="9.140625" style="75" customWidth="1"/>
    <col min="11" max="16384" width="9.140625" style="76" customWidth="1"/>
  </cols>
  <sheetData>
    <row r="1" spans="1:10" ht="12.75">
      <c r="A1" s="54"/>
      <c r="B1" s="55"/>
      <c r="C1" s="55"/>
      <c r="D1" s="55"/>
      <c r="E1" s="55"/>
      <c r="F1" s="55"/>
      <c r="G1" s="55"/>
      <c r="H1" s="55"/>
      <c r="I1" s="55"/>
      <c r="J1" s="56"/>
    </row>
    <row r="2" spans="1:10" ht="12.75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0" ht="12.75">
      <c r="A3" s="57"/>
      <c r="B3" s="58"/>
      <c r="C3" s="58"/>
      <c r="D3" s="58"/>
      <c r="E3" s="58"/>
      <c r="F3" s="58"/>
      <c r="G3" s="58"/>
      <c r="H3" s="58"/>
      <c r="I3" s="58"/>
      <c r="J3" s="59"/>
    </row>
    <row r="4" spans="1:10" ht="12.75">
      <c r="A4" s="57"/>
      <c r="B4" s="58"/>
      <c r="C4" s="58"/>
      <c r="D4" s="58"/>
      <c r="E4" s="58"/>
      <c r="F4" s="58"/>
      <c r="G4" s="58"/>
      <c r="H4" s="58"/>
      <c r="I4" s="58"/>
      <c r="J4" s="59"/>
    </row>
    <row r="5" spans="1:10" ht="12.75">
      <c r="A5" s="57"/>
      <c r="B5" s="58"/>
      <c r="C5" s="58"/>
      <c r="D5" s="58"/>
      <c r="E5" s="58"/>
      <c r="F5" s="58"/>
      <c r="G5" s="58"/>
      <c r="H5" s="58"/>
      <c r="I5" s="58"/>
      <c r="J5" s="59"/>
    </row>
    <row r="6" spans="1:10" ht="12.75">
      <c r="A6" s="57"/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7"/>
      <c r="B7" s="58"/>
      <c r="C7" s="58"/>
      <c r="D7" s="58"/>
      <c r="E7" s="58"/>
      <c r="F7" s="58"/>
      <c r="G7" s="58"/>
      <c r="H7" s="58"/>
      <c r="I7" s="58"/>
      <c r="J7" s="59"/>
    </row>
    <row r="8" spans="1:10" ht="12.75">
      <c r="A8" s="57"/>
      <c r="B8" s="58"/>
      <c r="C8" s="58"/>
      <c r="D8" s="58"/>
      <c r="E8" s="58"/>
      <c r="F8" s="58"/>
      <c r="G8" s="58"/>
      <c r="H8" s="58"/>
      <c r="I8" s="58"/>
      <c r="J8" s="59"/>
    </row>
    <row r="9" spans="1:10" ht="12.75">
      <c r="A9" s="57"/>
      <c r="B9" s="58"/>
      <c r="C9" s="58"/>
      <c r="D9" s="58"/>
      <c r="E9" s="58"/>
      <c r="F9" s="58"/>
      <c r="G9" s="58"/>
      <c r="H9" s="58"/>
      <c r="I9" s="58"/>
      <c r="J9" s="59"/>
    </row>
    <row r="10" spans="1:10" ht="12.75">
      <c r="A10" s="57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2.75">
      <c r="A11" s="57"/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12.75">
      <c r="A12" s="57"/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2.75">
      <c r="A13" s="57"/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12.75">
      <c r="A14" s="57"/>
      <c r="B14" s="58"/>
      <c r="C14" s="58"/>
      <c r="D14" s="58"/>
      <c r="E14" s="58"/>
      <c r="F14" s="58"/>
      <c r="G14" s="58"/>
      <c r="H14" s="58"/>
      <c r="I14" s="58"/>
      <c r="J14" s="59"/>
    </row>
    <row r="15" spans="1:10" ht="12.75">
      <c r="A15" s="57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2.75">
      <c r="A16" s="57"/>
      <c r="B16" s="58"/>
      <c r="C16" s="58"/>
      <c r="D16" s="58"/>
      <c r="E16" s="58"/>
      <c r="F16" s="58"/>
      <c r="G16" s="58"/>
      <c r="H16" s="58"/>
      <c r="I16" s="58"/>
      <c r="J16" s="59"/>
    </row>
    <row r="17" spans="1:10" ht="12.75">
      <c r="A17" s="60"/>
      <c r="B17" s="61"/>
      <c r="C17" s="61"/>
      <c r="D17" s="61"/>
      <c r="E17" s="61"/>
      <c r="F17" s="61"/>
      <c r="G17" s="61"/>
      <c r="H17" s="61"/>
      <c r="I17" s="61"/>
      <c r="J17" s="62"/>
    </row>
    <row r="18" spans="1:10" ht="12.75">
      <c r="A18" s="60"/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60"/>
      <c r="B19" s="61"/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60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60"/>
      <c r="B21" s="61"/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60"/>
      <c r="B22" s="61"/>
      <c r="C22" s="61"/>
      <c r="D22" s="61"/>
      <c r="E22" s="61"/>
      <c r="F22" s="61"/>
      <c r="G22" s="61"/>
      <c r="H22" s="61"/>
      <c r="I22" s="61"/>
      <c r="J22" s="62"/>
    </row>
    <row r="23" spans="1:10" ht="23.25">
      <c r="A23" s="478" t="s">
        <v>180</v>
      </c>
      <c r="B23" s="479"/>
      <c r="C23" s="479"/>
      <c r="D23" s="479"/>
      <c r="E23" s="479"/>
      <c r="F23" s="479"/>
      <c r="G23" s="479"/>
      <c r="H23" s="479"/>
      <c r="I23" s="479"/>
      <c r="J23" s="480"/>
    </row>
    <row r="24" spans="1:10" ht="23.25">
      <c r="A24" s="478" t="s">
        <v>179</v>
      </c>
      <c r="B24" s="479"/>
      <c r="C24" s="479"/>
      <c r="D24" s="479"/>
      <c r="E24" s="479"/>
      <c r="F24" s="479"/>
      <c r="G24" s="479"/>
      <c r="H24" s="479"/>
      <c r="I24" s="479"/>
      <c r="J24" s="480"/>
    </row>
    <row r="25" spans="1:10" ht="27.75">
      <c r="A25" s="66"/>
      <c r="B25" s="67"/>
      <c r="C25" s="67"/>
      <c r="D25" s="67"/>
      <c r="E25" s="67"/>
      <c r="F25" s="67"/>
      <c r="G25" s="67"/>
      <c r="H25" s="67"/>
      <c r="I25" s="67"/>
      <c r="J25" s="68"/>
    </row>
    <row r="26" spans="1:10" ht="23.25">
      <c r="A26" s="478" t="s">
        <v>185</v>
      </c>
      <c r="B26" s="479"/>
      <c r="C26" s="479"/>
      <c r="D26" s="479"/>
      <c r="E26" s="479"/>
      <c r="F26" s="479"/>
      <c r="G26" s="479"/>
      <c r="H26" s="479"/>
      <c r="I26" s="479"/>
      <c r="J26" s="480"/>
    </row>
    <row r="27" spans="1:10" ht="23.25">
      <c r="A27" s="478" t="s">
        <v>274</v>
      </c>
      <c r="B27" s="479"/>
      <c r="C27" s="479"/>
      <c r="D27" s="479"/>
      <c r="E27" s="479"/>
      <c r="F27" s="479"/>
      <c r="G27" s="479"/>
      <c r="H27" s="479"/>
      <c r="I27" s="479"/>
      <c r="J27" s="480"/>
    </row>
    <row r="28" spans="1:10" ht="23.25">
      <c r="A28" s="478"/>
      <c r="B28" s="479"/>
      <c r="C28" s="479"/>
      <c r="D28" s="479"/>
      <c r="E28" s="479"/>
      <c r="F28" s="479"/>
      <c r="G28" s="479"/>
      <c r="H28" s="479"/>
      <c r="I28" s="479"/>
      <c r="J28" s="480"/>
    </row>
    <row r="29" spans="1:10" ht="27.75">
      <c r="A29" s="66"/>
      <c r="B29" s="67"/>
      <c r="C29" s="67"/>
      <c r="D29" s="67"/>
      <c r="E29" s="67"/>
      <c r="F29" s="67"/>
      <c r="G29" s="67"/>
      <c r="H29" s="67"/>
      <c r="I29" s="67"/>
      <c r="J29" s="68"/>
    </row>
    <row r="30" spans="1:10" ht="27.75">
      <c r="A30" s="66"/>
      <c r="B30" s="67"/>
      <c r="C30" s="67"/>
      <c r="D30" s="67"/>
      <c r="E30" s="67"/>
      <c r="F30" s="67"/>
      <c r="G30" s="67"/>
      <c r="H30" s="67"/>
      <c r="I30" s="67"/>
      <c r="J30" s="68"/>
    </row>
    <row r="31" spans="1:10" ht="27.75">
      <c r="A31" s="66"/>
      <c r="B31" s="67"/>
      <c r="C31" s="67"/>
      <c r="D31" s="67"/>
      <c r="E31" s="67"/>
      <c r="F31" s="67"/>
      <c r="G31" s="67"/>
      <c r="H31" s="67"/>
      <c r="I31" s="67"/>
      <c r="J31" s="68"/>
    </row>
    <row r="32" spans="1:10" ht="27.75">
      <c r="A32" s="69"/>
      <c r="B32" s="70"/>
      <c r="C32" s="70"/>
      <c r="D32" s="70"/>
      <c r="E32" s="70"/>
      <c r="F32" s="70"/>
      <c r="G32" s="70"/>
      <c r="H32" s="70"/>
      <c r="I32" s="70"/>
      <c r="J32" s="71"/>
    </row>
    <row r="33" spans="1:10" ht="27.75">
      <c r="A33" s="69"/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27">
      <c r="A34" s="63"/>
      <c r="B34" s="64"/>
      <c r="C34" s="64"/>
      <c r="D34" s="64"/>
      <c r="E34" s="64"/>
      <c r="F34" s="64"/>
      <c r="G34" s="64"/>
      <c r="H34" s="64"/>
      <c r="I34" s="64"/>
      <c r="J34" s="65"/>
    </row>
    <row r="35" spans="1:10" ht="27.75">
      <c r="A35" s="69"/>
      <c r="B35" s="70"/>
      <c r="C35" s="70"/>
      <c r="D35" s="70"/>
      <c r="E35" s="70"/>
      <c r="F35" s="70"/>
      <c r="G35" s="70"/>
      <c r="H35" s="70"/>
      <c r="I35" s="70"/>
      <c r="J35" s="71"/>
    </row>
    <row r="36" spans="1:10" ht="27">
      <c r="A36" s="63"/>
      <c r="B36" s="64"/>
      <c r="C36" s="64"/>
      <c r="D36" s="64"/>
      <c r="E36" s="64"/>
      <c r="F36" s="64"/>
      <c r="G36" s="64"/>
      <c r="H36" s="64"/>
      <c r="I36" s="64"/>
      <c r="J36" s="65"/>
    </row>
    <row r="37" spans="1:10" ht="15.75">
      <c r="A37" s="475"/>
      <c r="B37" s="476"/>
      <c r="C37" s="476"/>
      <c r="D37" s="476"/>
      <c r="E37" s="476"/>
      <c r="F37" s="476"/>
      <c r="G37" s="476"/>
      <c r="H37" s="476"/>
      <c r="I37" s="476"/>
      <c r="J37" s="477"/>
    </row>
    <row r="38" spans="1:10" ht="15.75">
      <c r="A38" s="475"/>
      <c r="B38" s="476"/>
      <c r="C38" s="476"/>
      <c r="D38" s="476"/>
      <c r="E38" s="476"/>
      <c r="F38" s="476"/>
      <c r="G38" s="476"/>
      <c r="H38" s="476"/>
      <c r="I38" s="476"/>
      <c r="J38" s="477"/>
    </row>
    <row r="39" spans="1:10" ht="15.75">
      <c r="A39" s="475" t="s">
        <v>13</v>
      </c>
      <c r="B39" s="476"/>
      <c r="C39" s="476"/>
      <c r="D39" s="476"/>
      <c r="E39" s="476"/>
      <c r="F39" s="476"/>
      <c r="G39" s="476"/>
      <c r="H39" s="476"/>
      <c r="I39" s="476"/>
      <c r="J39" s="477"/>
    </row>
    <row r="40" spans="1:10" ht="15.75">
      <c r="A40" s="475" t="s">
        <v>14</v>
      </c>
      <c r="B40" s="476"/>
      <c r="C40" s="476"/>
      <c r="D40" s="476"/>
      <c r="E40" s="476"/>
      <c r="F40" s="476"/>
      <c r="G40" s="476"/>
      <c r="H40" s="476"/>
      <c r="I40" s="476"/>
      <c r="J40" s="477"/>
    </row>
    <row r="41" spans="1:10" ht="12.75">
      <c r="A41" s="60"/>
      <c r="B41" s="61"/>
      <c r="C41" s="61"/>
      <c r="D41" s="61" t="s">
        <v>1206</v>
      </c>
      <c r="E41" s="61"/>
      <c r="F41" s="61"/>
      <c r="G41" s="61"/>
      <c r="H41" s="61"/>
      <c r="I41" s="61"/>
      <c r="J41" s="62"/>
    </row>
    <row r="42" spans="1:10" ht="12.75">
      <c r="A42" s="72"/>
      <c r="B42" s="73"/>
      <c r="C42" s="73"/>
      <c r="D42" s="73"/>
      <c r="E42" s="73"/>
      <c r="F42" s="73"/>
      <c r="G42" s="73"/>
      <c r="H42" s="73"/>
      <c r="I42" s="73"/>
      <c r="J42" s="74"/>
    </row>
    <row r="43" spans="1:10" ht="12.75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2.75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12.75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2.75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2.75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2.75">
      <c r="A48" s="61"/>
      <c r="B48" s="61"/>
      <c r="C48" s="61"/>
      <c r="D48" s="61"/>
      <c r="E48" s="61"/>
      <c r="F48" s="61"/>
      <c r="G48" s="61"/>
      <c r="H48" s="61"/>
      <c r="I48" s="61"/>
      <c r="J48" s="61"/>
    </row>
    <row r="49" spans="1:10" ht="12.75">
      <c r="A49" s="61"/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12.75">
      <c r="A50" s="61"/>
      <c r="B50" s="61"/>
      <c r="C50" s="61"/>
      <c r="D50" s="61"/>
      <c r="E50" s="61"/>
      <c r="F50" s="61"/>
      <c r="G50" s="61"/>
      <c r="H50" s="61"/>
      <c r="I50" s="61"/>
      <c r="J50" s="61"/>
    </row>
    <row r="54" spans="1:10" ht="12.75">
      <c r="A54" s="61"/>
      <c r="B54" s="61"/>
      <c r="C54" s="61"/>
      <c r="D54" s="61"/>
      <c r="E54" s="61"/>
      <c r="F54" s="61"/>
      <c r="G54" s="61"/>
      <c r="H54" s="61"/>
      <c r="I54" s="61"/>
      <c r="J54" s="61"/>
    </row>
    <row r="55" spans="1:10" ht="12.75">
      <c r="A55" s="61"/>
      <c r="B55" s="61"/>
      <c r="C55" s="61"/>
      <c r="D55" s="61"/>
      <c r="E55" s="61"/>
      <c r="F55" s="61"/>
      <c r="G55" s="61"/>
      <c r="H55" s="61"/>
      <c r="I55" s="61"/>
      <c r="J55" s="61"/>
    </row>
    <row r="56" spans="1:10" ht="12.75">
      <c r="A56" s="61"/>
      <c r="B56" s="61"/>
      <c r="C56" s="61"/>
      <c r="D56" s="61"/>
      <c r="E56" s="61"/>
      <c r="F56" s="61"/>
      <c r="G56" s="61"/>
      <c r="H56" s="61"/>
      <c r="I56" s="61"/>
      <c r="J56" s="61"/>
    </row>
    <row r="57" spans="1:10" ht="12.75">
      <c r="A57" s="61"/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2.75">
      <c r="A58" s="61"/>
      <c r="B58" s="61"/>
      <c r="C58" s="61"/>
      <c r="D58" s="61"/>
      <c r="E58" s="61"/>
      <c r="F58" s="61"/>
      <c r="G58" s="61"/>
      <c r="H58" s="61"/>
      <c r="I58" s="61"/>
      <c r="J58" s="61"/>
    </row>
  </sheetData>
  <sheetProtection/>
  <mergeCells count="9">
    <mergeCell ref="A39:J39"/>
    <mergeCell ref="A40:J40"/>
    <mergeCell ref="A23:J23"/>
    <mergeCell ref="A26:J26"/>
    <mergeCell ref="A27:J27"/>
    <mergeCell ref="A28:J28"/>
    <mergeCell ref="A37:J37"/>
    <mergeCell ref="A38:J38"/>
    <mergeCell ref="A24:J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7">
      <selection activeCell="A28" sqref="A28:J28"/>
    </sheetView>
  </sheetViews>
  <sheetFormatPr defaultColWidth="9.140625" defaultRowHeight="12.75"/>
  <sheetData>
    <row r="1" spans="1:10" ht="12.75">
      <c r="A1" s="108"/>
      <c r="B1" s="107"/>
      <c r="C1" s="107"/>
      <c r="D1" s="107"/>
      <c r="E1" s="107"/>
      <c r="F1" s="107"/>
      <c r="G1" s="107"/>
      <c r="H1" s="107"/>
      <c r="I1" s="107"/>
      <c r="J1" s="106"/>
    </row>
    <row r="2" spans="1:10" ht="12.75">
      <c r="A2" s="105"/>
      <c r="B2" s="104"/>
      <c r="C2" s="104"/>
      <c r="D2" s="104"/>
      <c r="E2" s="104"/>
      <c r="F2" s="104"/>
      <c r="G2" s="104"/>
      <c r="H2" s="104"/>
      <c r="I2" s="104"/>
      <c r="J2" s="103"/>
    </row>
    <row r="3" spans="1:10" ht="12.75">
      <c r="A3" s="105"/>
      <c r="B3" s="104"/>
      <c r="C3" s="104"/>
      <c r="D3" s="104"/>
      <c r="E3" s="104"/>
      <c r="F3" s="104"/>
      <c r="G3" s="104"/>
      <c r="H3" s="104"/>
      <c r="I3" s="104"/>
      <c r="J3" s="103"/>
    </row>
    <row r="4" spans="1:10" ht="12.75">
      <c r="A4" s="105"/>
      <c r="B4" s="104"/>
      <c r="C4" s="104"/>
      <c r="D4" s="104"/>
      <c r="E4" s="104"/>
      <c r="F4" s="104"/>
      <c r="G4" s="104"/>
      <c r="H4" s="104"/>
      <c r="I4" s="104"/>
      <c r="J4" s="103"/>
    </row>
    <row r="5" spans="1:10" ht="12.75">
      <c r="A5" s="105"/>
      <c r="B5" s="104"/>
      <c r="C5" s="104"/>
      <c r="D5" s="104"/>
      <c r="E5" s="104"/>
      <c r="F5" s="104"/>
      <c r="G5" s="104"/>
      <c r="H5" s="104"/>
      <c r="I5" s="104"/>
      <c r="J5" s="103"/>
    </row>
    <row r="6" spans="1:10" ht="12.75">
      <c r="A6" s="105"/>
      <c r="B6" s="104"/>
      <c r="C6" s="104"/>
      <c r="D6" s="104"/>
      <c r="E6" s="104"/>
      <c r="F6" s="104"/>
      <c r="G6" s="104"/>
      <c r="H6" s="104"/>
      <c r="I6" s="104"/>
      <c r="J6" s="103"/>
    </row>
    <row r="7" spans="1:10" ht="12.75">
      <c r="A7" s="105"/>
      <c r="B7" s="104"/>
      <c r="C7" s="104"/>
      <c r="D7" s="104"/>
      <c r="E7" s="104"/>
      <c r="F7" s="104"/>
      <c r="G7" s="104"/>
      <c r="H7" s="104"/>
      <c r="I7" s="104"/>
      <c r="J7" s="103"/>
    </row>
    <row r="8" spans="1:10" ht="12.75">
      <c r="A8" s="105"/>
      <c r="B8" s="104"/>
      <c r="C8" s="104"/>
      <c r="D8" s="104"/>
      <c r="E8" s="104"/>
      <c r="F8" s="104"/>
      <c r="G8" s="104"/>
      <c r="H8" s="104"/>
      <c r="I8" s="104"/>
      <c r="J8" s="103"/>
    </row>
    <row r="9" spans="1:10" ht="12.75">
      <c r="A9" s="105"/>
      <c r="B9" s="104"/>
      <c r="C9" s="104"/>
      <c r="D9" s="104"/>
      <c r="E9" s="104"/>
      <c r="F9" s="104"/>
      <c r="G9" s="104"/>
      <c r="H9" s="104"/>
      <c r="I9" s="104"/>
      <c r="J9" s="103"/>
    </row>
    <row r="10" spans="1:10" ht="12.75">
      <c r="A10" s="105"/>
      <c r="B10" s="104"/>
      <c r="C10" s="104"/>
      <c r="D10" s="104"/>
      <c r="E10" s="104"/>
      <c r="F10" s="104"/>
      <c r="G10" s="104"/>
      <c r="H10" s="104"/>
      <c r="I10" s="104"/>
      <c r="J10" s="103"/>
    </row>
    <row r="11" spans="1:10" ht="12.75">
      <c r="A11" s="105"/>
      <c r="B11" s="104"/>
      <c r="C11" s="104"/>
      <c r="D11" s="104"/>
      <c r="E11" s="104"/>
      <c r="F11" s="104"/>
      <c r="G11" s="104"/>
      <c r="H11" s="104"/>
      <c r="I11" s="104"/>
      <c r="J11" s="103"/>
    </row>
    <row r="12" spans="1:10" ht="18">
      <c r="A12" s="484" t="s">
        <v>28</v>
      </c>
      <c r="B12" s="485"/>
      <c r="C12" s="485"/>
      <c r="D12" s="485"/>
      <c r="E12" s="485"/>
      <c r="F12" s="485"/>
      <c r="G12" s="485"/>
      <c r="H12" s="485"/>
      <c r="I12" s="485"/>
      <c r="J12" s="486"/>
    </row>
    <row r="13" spans="1:10" ht="12.75">
      <c r="A13" s="105"/>
      <c r="B13" s="104"/>
      <c r="C13" s="104"/>
      <c r="D13" s="104"/>
      <c r="E13" s="104"/>
      <c r="F13" s="104"/>
      <c r="G13" s="104"/>
      <c r="H13" s="104"/>
      <c r="I13" s="104"/>
      <c r="J13" s="103"/>
    </row>
    <row r="14" spans="1:10" ht="12.75">
      <c r="A14" s="487" t="s">
        <v>1208</v>
      </c>
      <c r="B14" s="488"/>
      <c r="C14" s="488"/>
      <c r="D14" s="488"/>
      <c r="E14" s="488"/>
      <c r="F14" s="488"/>
      <c r="G14" s="488"/>
      <c r="H14" s="488"/>
      <c r="I14" s="488"/>
      <c r="J14" s="489"/>
    </row>
    <row r="15" spans="1:10" ht="12.75">
      <c r="A15" s="490"/>
      <c r="B15" s="488"/>
      <c r="C15" s="488"/>
      <c r="D15" s="488"/>
      <c r="E15" s="488"/>
      <c r="F15" s="488"/>
      <c r="G15" s="488"/>
      <c r="H15" s="488"/>
      <c r="I15" s="488"/>
      <c r="J15" s="489"/>
    </row>
    <row r="16" spans="1:10" ht="12.75">
      <c r="A16" s="490"/>
      <c r="B16" s="488"/>
      <c r="C16" s="488"/>
      <c r="D16" s="488"/>
      <c r="E16" s="488"/>
      <c r="F16" s="488"/>
      <c r="G16" s="488"/>
      <c r="H16" s="488"/>
      <c r="I16" s="488"/>
      <c r="J16" s="489"/>
    </row>
    <row r="17" spans="1:10" ht="12.75">
      <c r="A17" s="490"/>
      <c r="B17" s="488"/>
      <c r="C17" s="488"/>
      <c r="D17" s="488"/>
      <c r="E17" s="488"/>
      <c r="F17" s="488"/>
      <c r="G17" s="488"/>
      <c r="H17" s="488"/>
      <c r="I17" s="488"/>
      <c r="J17" s="489"/>
    </row>
    <row r="18" spans="1:10" ht="12.75">
      <c r="A18" s="490"/>
      <c r="B18" s="488"/>
      <c r="C18" s="488"/>
      <c r="D18" s="488"/>
      <c r="E18" s="488"/>
      <c r="F18" s="488"/>
      <c r="G18" s="488"/>
      <c r="H18" s="488"/>
      <c r="I18" s="488"/>
      <c r="J18" s="489"/>
    </row>
    <row r="19" spans="1:10" ht="12.75">
      <c r="A19" s="490"/>
      <c r="B19" s="488"/>
      <c r="C19" s="488"/>
      <c r="D19" s="488"/>
      <c r="E19" s="488"/>
      <c r="F19" s="488"/>
      <c r="G19" s="488"/>
      <c r="H19" s="488"/>
      <c r="I19" s="488"/>
      <c r="J19" s="489"/>
    </row>
    <row r="20" spans="1:10" ht="12.75">
      <c r="A20" s="490"/>
      <c r="B20" s="488"/>
      <c r="C20" s="488"/>
      <c r="D20" s="488"/>
      <c r="E20" s="488"/>
      <c r="F20" s="488"/>
      <c r="G20" s="488"/>
      <c r="H20" s="488"/>
      <c r="I20" s="488"/>
      <c r="J20" s="489"/>
    </row>
    <row r="21" spans="1:10" ht="12.75">
      <c r="A21" s="490"/>
      <c r="B21" s="488"/>
      <c r="C21" s="488"/>
      <c r="D21" s="488"/>
      <c r="E21" s="488"/>
      <c r="F21" s="488"/>
      <c r="G21" s="488"/>
      <c r="H21" s="488"/>
      <c r="I21" s="488"/>
      <c r="J21" s="489"/>
    </row>
    <row r="22" spans="1:10" ht="12.75">
      <c r="A22" s="490"/>
      <c r="B22" s="488"/>
      <c r="C22" s="488"/>
      <c r="D22" s="488"/>
      <c r="E22" s="488"/>
      <c r="F22" s="488"/>
      <c r="G22" s="488"/>
      <c r="H22" s="488"/>
      <c r="I22" s="488"/>
      <c r="J22" s="489"/>
    </row>
    <row r="23" spans="1:10" ht="12.75">
      <c r="A23" s="490"/>
      <c r="B23" s="488"/>
      <c r="C23" s="488"/>
      <c r="D23" s="488"/>
      <c r="E23" s="488"/>
      <c r="F23" s="488"/>
      <c r="G23" s="488"/>
      <c r="H23" s="488"/>
      <c r="I23" s="488"/>
      <c r="J23" s="489"/>
    </row>
    <row r="24" spans="1:10" ht="12.75">
      <c r="A24" s="490"/>
      <c r="B24" s="488"/>
      <c r="C24" s="488"/>
      <c r="D24" s="488"/>
      <c r="E24" s="488"/>
      <c r="F24" s="488"/>
      <c r="G24" s="488"/>
      <c r="H24" s="488"/>
      <c r="I24" s="488"/>
      <c r="J24" s="489"/>
    </row>
    <row r="25" spans="1:10" ht="12.75">
      <c r="A25" s="490"/>
      <c r="B25" s="488"/>
      <c r="C25" s="488"/>
      <c r="D25" s="488"/>
      <c r="E25" s="488"/>
      <c r="F25" s="488"/>
      <c r="G25" s="488"/>
      <c r="H25" s="488"/>
      <c r="I25" s="488"/>
      <c r="J25" s="489"/>
    </row>
    <row r="26" spans="1:10" ht="12.75">
      <c r="A26" s="490"/>
      <c r="B26" s="488"/>
      <c r="C26" s="488"/>
      <c r="D26" s="488"/>
      <c r="E26" s="488"/>
      <c r="F26" s="488"/>
      <c r="G26" s="488"/>
      <c r="H26" s="488"/>
      <c r="I26" s="488"/>
      <c r="J26" s="489"/>
    </row>
    <row r="27" spans="1:10" ht="12.75">
      <c r="A27" s="490"/>
      <c r="B27" s="488"/>
      <c r="C27" s="488"/>
      <c r="D27" s="488"/>
      <c r="E27" s="488"/>
      <c r="F27" s="488"/>
      <c r="G27" s="488"/>
      <c r="H27" s="488"/>
      <c r="I27" s="488"/>
      <c r="J27" s="489"/>
    </row>
    <row r="28" spans="1:10" ht="12.75">
      <c r="A28" s="491" t="s">
        <v>525</v>
      </c>
      <c r="B28" s="492"/>
      <c r="C28" s="492"/>
      <c r="D28" s="492"/>
      <c r="E28" s="492"/>
      <c r="F28" s="492"/>
      <c r="G28" s="492"/>
      <c r="H28" s="492"/>
      <c r="I28" s="492"/>
      <c r="J28" s="493"/>
    </row>
    <row r="29" spans="1:10" ht="12.75">
      <c r="A29" s="85"/>
      <c r="B29" s="83"/>
      <c r="C29" s="84"/>
      <c r="D29" s="84"/>
      <c r="E29" s="84"/>
      <c r="F29" s="83"/>
      <c r="G29" s="83"/>
      <c r="H29" s="104"/>
      <c r="I29" s="104"/>
      <c r="J29" s="103"/>
    </row>
    <row r="30" spans="1:10" ht="12.75">
      <c r="A30" s="85"/>
      <c r="B30" s="83"/>
      <c r="C30" s="84"/>
      <c r="D30" s="84"/>
      <c r="E30" s="84"/>
      <c r="F30" s="83"/>
      <c r="G30" s="83"/>
      <c r="H30" s="104"/>
      <c r="I30" s="104"/>
      <c r="J30" s="103"/>
    </row>
    <row r="31" spans="1:10" ht="12.75">
      <c r="A31" s="85"/>
      <c r="B31" s="83"/>
      <c r="C31" s="84"/>
      <c r="D31" s="84"/>
      <c r="E31" s="84"/>
      <c r="F31" s="83"/>
      <c r="G31" s="83"/>
      <c r="H31" s="104"/>
      <c r="I31" s="104"/>
      <c r="J31" s="103"/>
    </row>
    <row r="32" spans="1:10" ht="12.75">
      <c r="A32" s="85"/>
      <c r="B32" s="83"/>
      <c r="C32" s="84"/>
      <c r="D32" s="84"/>
      <c r="E32" s="84"/>
      <c r="F32" s="83"/>
      <c r="G32" s="83"/>
      <c r="H32" s="104"/>
      <c r="I32" s="104"/>
      <c r="J32" s="103"/>
    </row>
    <row r="33" spans="1:10" ht="12.75">
      <c r="A33" s="85"/>
      <c r="B33" s="83"/>
      <c r="C33" s="84"/>
      <c r="D33" s="84"/>
      <c r="E33" s="84"/>
      <c r="F33" s="83"/>
      <c r="G33" s="83"/>
      <c r="H33" s="104"/>
      <c r="I33" s="104"/>
      <c r="J33" s="103"/>
    </row>
    <row r="34" spans="1:10" ht="12.75">
      <c r="A34" s="85"/>
      <c r="B34" s="83"/>
      <c r="C34" s="84"/>
      <c r="D34" s="84"/>
      <c r="E34" s="84"/>
      <c r="F34" s="83"/>
      <c r="G34" s="83"/>
      <c r="H34" s="104"/>
      <c r="I34" s="104"/>
      <c r="J34" s="103"/>
    </row>
    <row r="35" spans="1:10" ht="12.75">
      <c r="A35" s="85"/>
      <c r="B35" s="83"/>
      <c r="C35" s="84"/>
      <c r="D35" s="84"/>
      <c r="E35" s="84"/>
      <c r="F35" s="83"/>
      <c r="G35" s="83"/>
      <c r="H35" s="104"/>
      <c r="I35" s="104"/>
      <c r="J35" s="103"/>
    </row>
    <row r="36" spans="1:10" ht="12.75">
      <c r="A36" s="85"/>
      <c r="B36" s="83"/>
      <c r="C36" s="84"/>
      <c r="D36" s="84"/>
      <c r="E36" s="84"/>
      <c r="F36" s="83"/>
      <c r="G36" s="83"/>
      <c r="H36" s="104"/>
      <c r="I36" s="104"/>
      <c r="J36" s="103"/>
    </row>
    <row r="37" spans="1:10" ht="12.75">
      <c r="A37" s="494" t="s">
        <v>18</v>
      </c>
      <c r="B37" s="495"/>
      <c r="C37" s="495"/>
      <c r="D37" s="495"/>
      <c r="E37" s="495"/>
      <c r="F37" s="495"/>
      <c r="G37" s="495"/>
      <c r="H37" s="495"/>
      <c r="I37" s="495"/>
      <c r="J37" s="496"/>
    </row>
    <row r="38" spans="1:10" ht="12.75">
      <c r="A38" s="481" t="s">
        <v>17</v>
      </c>
      <c r="B38" s="482"/>
      <c r="C38" s="482"/>
      <c r="D38" s="482"/>
      <c r="E38" s="482"/>
      <c r="F38" s="482"/>
      <c r="G38" s="482"/>
      <c r="H38" s="482"/>
      <c r="I38" s="482"/>
      <c r="J38" s="483"/>
    </row>
    <row r="39" spans="1:10" ht="12.75">
      <c r="A39" s="481" t="s">
        <v>16</v>
      </c>
      <c r="B39" s="482"/>
      <c r="C39" s="482"/>
      <c r="D39" s="482"/>
      <c r="E39" s="482"/>
      <c r="F39" s="482"/>
      <c r="G39" s="482"/>
      <c r="H39" s="482"/>
      <c r="I39" s="482"/>
      <c r="J39" s="483"/>
    </row>
    <row r="40" spans="1:10" ht="12.75">
      <c r="A40" s="481" t="s">
        <v>15</v>
      </c>
      <c r="B40" s="482"/>
      <c r="C40" s="482"/>
      <c r="D40" s="482"/>
      <c r="E40" s="482"/>
      <c r="F40" s="482"/>
      <c r="G40" s="482"/>
      <c r="H40" s="482"/>
      <c r="I40" s="482"/>
      <c r="J40" s="483"/>
    </row>
    <row r="41" spans="1:10" ht="12.75">
      <c r="A41" s="105"/>
      <c r="B41" s="104"/>
      <c r="C41" s="104"/>
      <c r="D41" s="104"/>
      <c r="E41" s="104"/>
      <c r="F41" s="104"/>
      <c r="G41" s="104"/>
      <c r="H41" s="104"/>
      <c r="I41" s="104"/>
      <c r="J41" s="103"/>
    </row>
    <row r="42" spans="1:10" ht="12.75">
      <c r="A42" s="105"/>
      <c r="B42" s="104"/>
      <c r="C42" s="104"/>
      <c r="D42" s="104"/>
      <c r="E42" s="104"/>
      <c r="F42" s="104"/>
      <c r="G42" s="104"/>
      <c r="H42" s="104"/>
      <c r="I42" s="104"/>
      <c r="J42" s="103"/>
    </row>
    <row r="43" spans="1:10" ht="12.75">
      <c r="A43" s="105"/>
      <c r="B43" s="104"/>
      <c r="C43" s="104"/>
      <c r="D43" s="104"/>
      <c r="E43" s="104"/>
      <c r="F43" s="104"/>
      <c r="G43" s="104"/>
      <c r="H43" s="104"/>
      <c r="I43" s="104"/>
      <c r="J43" s="103"/>
    </row>
    <row r="44" spans="1:10" ht="12.75">
      <c r="A44" s="105"/>
      <c r="B44" s="104"/>
      <c r="C44" s="104"/>
      <c r="D44" s="104"/>
      <c r="E44" s="104"/>
      <c r="F44" s="104"/>
      <c r="G44" s="104"/>
      <c r="H44" s="104"/>
      <c r="I44" s="104"/>
      <c r="J44" s="103"/>
    </row>
    <row r="45" spans="1:10" ht="12.75">
      <c r="A45" s="105"/>
      <c r="B45" s="104"/>
      <c r="C45" s="104"/>
      <c r="D45" s="104"/>
      <c r="E45" s="104"/>
      <c r="F45" s="104"/>
      <c r="G45" s="104"/>
      <c r="H45" s="104"/>
      <c r="I45" s="104"/>
      <c r="J45" s="103"/>
    </row>
    <row r="46" spans="1:10" ht="12.75">
      <c r="A46" s="105"/>
      <c r="B46" s="104"/>
      <c r="C46" s="104"/>
      <c r="D46" s="104"/>
      <c r="E46" s="104"/>
      <c r="F46" s="104"/>
      <c r="G46" s="104"/>
      <c r="H46" s="104"/>
      <c r="I46" s="104"/>
      <c r="J46" s="103"/>
    </row>
    <row r="47" spans="1:10" ht="12.75">
      <c r="A47" s="105"/>
      <c r="B47" s="104"/>
      <c r="C47" s="104"/>
      <c r="D47" s="104"/>
      <c r="E47" s="104"/>
      <c r="F47" s="104"/>
      <c r="G47" s="104"/>
      <c r="H47" s="104"/>
      <c r="I47" s="104"/>
      <c r="J47" s="103"/>
    </row>
    <row r="48" spans="1:10" ht="12.75">
      <c r="A48" s="105"/>
      <c r="B48" s="104"/>
      <c r="C48" s="104"/>
      <c r="D48" s="104"/>
      <c r="E48" s="104"/>
      <c r="F48" s="104"/>
      <c r="G48" s="104"/>
      <c r="H48" s="104"/>
      <c r="I48" s="104"/>
      <c r="J48" s="103"/>
    </row>
    <row r="49" spans="1:10" ht="12.75">
      <c r="A49" s="105"/>
      <c r="B49" s="104"/>
      <c r="C49" s="104"/>
      <c r="D49" s="104"/>
      <c r="E49" s="104"/>
      <c r="F49" s="104"/>
      <c r="G49" s="104"/>
      <c r="H49" s="104"/>
      <c r="I49" s="104"/>
      <c r="J49" s="103"/>
    </row>
    <row r="50" spans="1:10" ht="12.75">
      <c r="A50" s="105"/>
      <c r="B50" s="104"/>
      <c r="C50" s="104"/>
      <c r="D50" s="104"/>
      <c r="E50" s="104"/>
      <c r="F50" s="104"/>
      <c r="G50" s="104"/>
      <c r="H50" s="104"/>
      <c r="I50" s="104"/>
      <c r="J50" s="103"/>
    </row>
    <row r="51" spans="1:10" ht="12.75">
      <c r="A51" s="105"/>
      <c r="B51" s="104"/>
      <c r="C51" s="104"/>
      <c r="D51" s="104"/>
      <c r="E51" s="104"/>
      <c r="F51" s="104"/>
      <c r="G51" s="104"/>
      <c r="H51" s="104"/>
      <c r="I51" s="104"/>
      <c r="J51" s="103"/>
    </row>
    <row r="52" spans="1:10" ht="12.75">
      <c r="A52" s="105"/>
      <c r="B52" s="104"/>
      <c r="C52" s="104"/>
      <c r="D52" s="104"/>
      <c r="E52" s="104"/>
      <c r="F52" s="104"/>
      <c r="G52" s="104"/>
      <c r="H52" s="104"/>
      <c r="I52" s="104"/>
      <c r="J52" s="103"/>
    </row>
    <row r="53" spans="1:10" ht="12.75">
      <c r="A53" s="105"/>
      <c r="B53" s="104"/>
      <c r="C53" s="104"/>
      <c r="D53" s="104"/>
      <c r="E53" s="104"/>
      <c r="F53" s="104"/>
      <c r="G53" s="104"/>
      <c r="H53" s="104"/>
      <c r="I53" s="104"/>
      <c r="J53" s="103"/>
    </row>
    <row r="54" spans="1:10" ht="12.75">
      <c r="A54" s="105"/>
      <c r="B54" s="104"/>
      <c r="C54" s="104"/>
      <c r="D54" s="104"/>
      <c r="E54" s="104"/>
      <c r="F54" s="104"/>
      <c r="G54" s="104"/>
      <c r="H54" s="104"/>
      <c r="I54" s="104"/>
      <c r="J54" s="103"/>
    </row>
    <row r="55" spans="1:10" ht="12.75">
      <c r="A55" s="105"/>
      <c r="B55" s="104"/>
      <c r="C55" s="104"/>
      <c r="D55" s="104"/>
      <c r="E55" s="104"/>
      <c r="F55" s="104"/>
      <c r="G55" s="104"/>
      <c r="H55" s="104"/>
      <c r="I55" s="104"/>
      <c r="J55" s="103"/>
    </row>
    <row r="56" spans="1:10" ht="12.75">
      <c r="A56" s="105"/>
      <c r="B56" s="104"/>
      <c r="C56" s="104"/>
      <c r="D56" s="104"/>
      <c r="E56" s="104"/>
      <c r="F56" s="104"/>
      <c r="G56" s="104"/>
      <c r="H56" s="104"/>
      <c r="I56" s="104"/>
      <c r="J56" s="103"/>
    </row>
    <row r="57" spans="1:10" ht="12.75">
      <c r="A57" s="105"/>
      <c r="B57" s="104"/>
      <c r="C57" s="104"/>
      <c r="D57" s="104"/>
      <c r="E57" s="104"/>
      <c r="F57" s="104"/>
      <c r="G57" s="104"/>
      <c r="H57" s="104"/>
      <c r="I57" s="104"/>
      <c r="J57" s="103"/>
    </row>
    <row r="58" spans="1:10" ht="13.5" thickBot="1">
      <c r="A58" s="102"/>
      <c r="B58" s="101"/>
      <c r="C58" s="101"/>
      <c r="D58" s="101"/>
      <c r="E58" s="101"/>
      <c r="F58" s="101"/>
      <c r="G58" s="101"/>
      <c r="H58" s="101"/>
      <c r="I58" s="101"/>
      <c r="J58" s="100"/>
    </row>
  </sheetData>
  <sheetProtection/>
  <mergeCells count="7">
    <mergeCell ref="A40:J40"/>
    <mergeCell ref="A12:J12"/>
    <mergeCell ref="A14:J27"/>
    <mergeCell ref="A28:J28"/>
    <mergeCell ref="A37:J37"/>
    <mergeCell ref="A38:J38"/>
    <mergeCell ref="A39:J3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90" zoomScaleSheetLayoutView="90" zoomScalePageLayoutView="0" workbookViewId="0" topLeftCell="A13">
      <selection activeCell="A41" sqref="A41:J41"/>
    </sheetView>
  </sheetViews>
  <sheetFormatPr defaultColWidth="9.140625" defaultRowHeight="12.75"/>
  <cols>
    <col min="1" max="2" width="9.140625" style="76" customWidth="1"/>
    <col min="3" max="3" width="10.140625" style="76" customWidth="1"/>
    <col min="4" max="16384" width="9.140625" style="76" customWidth="1"/>
  </cols>
  <sheetData>
    <row r="1" spans="1:10" ht="12.75">
      <c r="A1" s="95"/>
      <c r="B1" s="94"/>
      <c r="C1" s="94"/>
      <c r="D1" s="94"/>
      <c r="E1" s="94"/>
      <c r="F1" s="94"/>
      <c r="G1" s="94"/>
      <c r="H1" s="94"/>
      <c r="I1" s="94"/>
      <c r="J1" s="93"/>
    </row>
    <row r="2" spans="1:10" ht="12.75">
      <c r="A2" s="82"/>
      <c r="B2" s="81"/>
      <c r="C2" s="81"/>
      <c r="D2" s="81"/>
      <c r="E2" s="81"/>
      <c r="F2" s="81"/>
      <c r="G2" s="81"/>
      <c r="H2" s="81"/>
      <c r="I2" s="81"/>
      <c r="J2" s="80"/>
    </row>
    <row r="3" spans="1:10" ht="12.75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0" ht="12.75">
      <c r="A4" s="82"/>
      <c r="B4" s="81"/>
      <c r="C4" s="81"/>
      <c r="D4" s="81"/>
      <c r="E4" s="81"/>
      <c r="F4" s="81"/>
      <c r="G4" s="81"/>
      <c r="H4" s="81"/>
      <c r="I4" s="81"/>
      <c r="J4" s="80"/>
    </row>
    <row r="5" spans="1:10" ht="12.75">
      <c r="A5" s="82"/>
      <c r="B5" s="81"/>
      <c r="C5" s="81"/>
      <c r="D5" s="81"/>
      <c r="E5" s="81"/>
      <c r="F5" s="81"/>
      <c r="G5" s="81"/>
      <c r="H5" s="81"/>
      <c r="I5" s="81"/>
      <c r="J5" s="80"/>
    </row>
    <row r="6" spans="1:10" ht="12.75">
      <c r="A6" s="82"/>
      <c r="B6" s="81"/>
      <c r="C6" s="81"/>
      <c r="D6" s="81"/>
      <c r="E6" s="81"/>
      <c r="F6" s="81"/>
      <c r="G6" s="81"/>
      <c r="H6" s="81"/>
      <c r="I6" s="81"/>
      <c r="J6" s="80"/>
    </row>
    <row r="7" spans="1:10" ht="12.75">
      <c r="A7" s="82"/>
      <c r="B7" s="81"/>
      <c r="C7" s="81"/>
      <c r="D7" s="81"/>
      <c r="E7" s="81"/>
      <c r="F7" s="81"/>
      <c r="G7" s="81"/>
      <c r="H7" s="81"/>
      <c r="I7" s="81"/>
      <c r="J7" s="80"/>
    </row>
    <row r="8" spans="1:10" ht="12.75">
      <c r="A8" s="82"/>
      <c r="B8" s="81"/>
      <c r="C8" s="81"/>
      <c r="D8" s="81"/>
      <c r="E8" s="81"/>
      <c r="F8" s="81"/>
      <c r="G8" s="81"/>
      <c r="H8" s="81"/>
      <c r="I8" s="81"/>
      <c r="J8" s="80"/>
    </row>
    <row r="9" spans="1:10" ht="12.75">
      <c r="A9" s="82"/>
      <c r="B9" s="81"/>
      <c r="C9" s="81"/>
      <c r="D9" s="81"/>
      <c r="E9" s="81"/>
      <c r="F9" s="81"/>
      <c r="G9" s="81"/>
      <c r="H9" s="81"/>
      <c r="I9" s="81"/>
      <c r="J9" s="80"/>
    </row>
    <row r="10" spans="1:10" ht="12.75">
      <c r="A10" s="82"/>
      <c r="B10" s="81"/>
      <c r="C10" s="81"/>
      <c r="D10" s="81"/>
      <c r="E10" s="81"/>
      <c r="F10" s="81"/>
      <c r="G10" s="81"/>
      <c r="H10" s="81"/>
      <c r="I10" s="81"/>
      <c r="J10" s="80"/>
    </row>
    <row r="11" spans="1:10" ht="18">
      <c r="A11" s="497" t="s">
        <v>21</v>
      </c>
      <c r="B11" s="498"/>
      <c r="C11" s="498"/>
      <c r="D11" s="498"/>
      <c r="E11" s="498"/>
      <c r="F11" s="498"/>
      <c r="G11" s="498"/>
      <c r="H11" s="498"/>
      <c r="I11" s="498"/>
      <c r="J11" s="499"/>
    </row>
    <row r="12" spans="1:10" ht="15.75">
      <c r="A12" s="500"/>
      <c r="B12" s="501"/>
      <c r="C12" s="501"/>
      <c r="D12" s="501"/>
      <c r="E12" s="501"/>
      <c r="F12" s="501"/>
      <c r="G12" s="501"/>
      <c r="H12" s="501"/>
      <c r="I12" s="501"/>
      <c r="J12" s="502"/>
    </row>
    <row r="13" spans="1:10" ht="12.75">
      <c r="A13" s="82"/>
      <c r="B13" s="81"/>
      <c r="C13" s="81"/>
      <c r="D13" s="81"/>
      <c r="E13" s="81"/>
      <c r="F13" s="81"/>
      <c r="G13" s="81"/>
      <c r="H13" s="81"/>
      <c r="I13" s="81"/>
      <c r="J13" s="80"/>
    </row>
    <row r="14" spans="1:10" ht="14.25">
      <c r="A14" s="89"/>
      <c r="B14" s="88" t="s">
        <v>181</v>
      </c>
      <c r="C14" s="88"/>
      <c r="D14" s="88"/>
      <c r="E14" s="88"/>
      <c r="F14" s="88"/>
      <c r="G14" s="88"/>
      <c r="H14" s="88"/>
      <c r="I14" s="88"/>
      <c r="J14" s="87"/>
    </row>
    <row r="15" spans="1:10" ht="14.25">
      <c r="A15" s="86" t="s">
        <v>20</v>
      </c>
      <c r="B15" s="88"/>
      <c r="C15" s="88"/>
      <c r="D15" s="88"/>
      <c r="E15" s="88"/>
      <c r="F15" s="88"/>
      <c r="G15" s="88"/>
      <c r="H15" s="88"/>
      <c r="I15" s="88"/>
      <c r="J15" s="87"/>
    </row>
    <row r="16" spans="1:10" ht="14.25">
      <c r="A16" s="86"/>
      <c r="B16" s="88"/>
      <c r="C16" s="88"/>
      <c r="D16" s="88"/>
      <c r="E16" s="88"/>
      <c r="F16" s="88"/>
      <c r="G16" s="88"/>
      <c r="H16" s="88"/>
      <c r="I16" s="88"/>
      <c r="J16" s="87"/>
    </row>
    <row r="17" spans="1:10" ht="12.75">
      <c r="A17" s="503" t="s">
        <v>53</v>
      </c>
      <c r="B17" s="504"/>
      <c r="C17" s="504"/>
      <c r="D17" s="504"/>
      <c r="E17" s="504"/>
      <c r="F17" s="504"/>
      <c r="G17" s="504"/>
      <c r="H17" s="504"/>
      <c r="I17" s="504"/>
      <c r="J17" s="505"/>
    </row>
    <row r="18" spans="1:10" ht="12.75">
      <c r="A18" s="503"/>
      <c r="B18" s="504"/>
      <c r="C18" s="504"/>
      <c r="D18" s="504"/>
      <c r="E18" s="504"/>
      <c r="F18" s="504"/>
      <c r="G18" s="504"/>
      <c r="H18" s="504"/>
      <c r="I18" s="504"/>
      <c r="J18" s="505"/>
    </row>
    <row r="19" spans="1:10" ht="12.75" customHeight="1">
      <c r="A19" s="506" t="s">
        <v>23</v>
      </c>
      <c r="B19" s="507"/>
      <c r="C19" s="507"/>
      <c r="D19" s="508" t="s">
        <v>186</v>
      </c>
      <c r="E19" s="508"/>
      <c r="F19" s="508"/>
      <c r="G19" s="508"/>
      <c r="H19" s="508"/>
      <c r="I19" s="509"/>
      <c r="J19" s="510"/>
    </row>
    <row r="20" spans="1:10" ht="12.75" customHeight="1">
      <c r="A20" s="506"/>
      <c r="B20" s="507"/>
      <c r="C20" s="507"/>
      <c r="D20" s="508"/>
      <c r="E20" s="508"/>
      <c r="F20" s="508"/>
      <c r="G20" s="508"/>
      <c r="H20" s="508"/>
      <c r="I20" s="509"/>
      <c r="J20" s="510"/>
    </row>
    <row r="21" spans="1:10" ht="12.75" customHeight="1">
      <c r="A21" s="506" t="s">
        <v>24</v>
      </c>
      <c r="B21" s="507"/>
      <c r="C21" s="507"/>
      <c r="D21" s="508" t="s">
        <v>188</v>
      </c>
      <c r="E21" s="508"/>
      <c r="F21" s="508"/>
      <c r="G21" s="508"/>
      <c r="H21" s="508"/>
      <c r="I21" s="509"/>
      <c r="J21" s="510"/>
    </row>
    <row r="22" spans="1:10" ht="12.75" customHeight="1">
      <c r="A22" s="506"/>
      <c r="B22" s="507"/>
      <c r="C22" s="507"/>
      <c r="D22" s="508"/>
      <c r="E22" s="508"/>
      <c r="F22" s="508"/>
      <c r="G22" s="508"/>
      <c r="H22" s="508"/>
      <c r="I22" s="509"/>
      <c r="J22" s="510"/>
    </row>
    <row r="23" spans="1:10" ht="12.75" customHeight="1">
      <c r="A23" s="506" t="s">
        <v>25</v>
      </c>
      <c r="B23" s="507"/>
      <c r="C23" s="507"/>
      <c r="D23" s="508" t="s">
        <v>188</v>
      </c>
      <c r="E23" s="508"/>
      <c r="F23" s="508"/>
      <c r="G23" s="508"/>
      <c r="H23" s="508"/>
      <c r="I23" s="509"/>
      <c r="J23" s="510"/>
    </row>
    <row r="24" spans="1:10" ht="12.75" customHeight="1">
      <c r="A24" s="506"/>
      <c r="B24" s="507"/>
      <c r="C24" s="507"/>
      <c r="D24" s="508"/>
      <c r="E24" s="508"/>
      <c r="F24" s="508"/>
      <c r="G24" s="508"/>
      <c r="H24" s="508"/>
      <c r="I24" s="509"/>
      <c r="J24" s="510"/>
    </row>
    <row r="25" spans="1:10" ht="12.75" customHeight="1">
      <c r="A25" s="506" t="s">
        <v>22</v>
      </c>
      <c r="B25" s="507"/>
      <c r="C25" s="507"/>
      <c r="D25" s="508" t="s">
        <v>188</v>
      </c>
      <c r="E25" s="508"/>
      <c r="F25" s="508"/>
      <c r="G25" s="508"/>
      <c r="H25" s="508"/>
      <c r="I25" s="509"/>
      <c r="J25" s="510"/>
    </row>
    <row r="26" spans="1:10" ht="12.75" customHeight="1">
      <c r="A26" s="506"/>
      <c r="B26" s="507"/>
      <c r="C26" s="507"/>
      <c r="D26" s="508"/>
      <c r="E26" s="508"/>
      <c r="F26" s="508"/>
      <c r="G26" s="508"/>
      <c r="H26" s="508"/>
      <c r="I26" s="509"/>
      <c r="J26" s="510"/>
    </row>
    <row r="27" spans="1:10" ht="12.75" customHeight="1">
      <c r="A27" s="511" t="s">
        <v>187</v>
      </c>
      <c r="B27" s="511"/>
      <c r="C27" s="511"/>
      <c r="D27" s="508" t="s">
        <v>188</v>
      </c>
      <c r="E27" s="508"/>
      <c r="F27" s="508"/>
      <c r="G27" s="508"/>
      <c r="H27" s="508"/>
      <c r="I27" s="509"/>
      <c r="J27" s="510"/>
    </row>
    <row r="28" spans="1:10" ht="12.75" customHeight="1">
      <c r="A28" s="511"/>
      <c r="B28" s="511"/>
      <c r="C28" s="511"/>
      <c r="D28" s="508"/>
      <c r="E28" s="508"/>
      <c r="F28" s="508"/>
      <c r="G28" s="508"/>
      <c r="H28" s="508"/>
      <c r="I28" s="509"/>
      <c r="J28" s="510"/>
    </row>
    <row r="29" spans="1:10" ht="12.75" customHeight="1">
      <c r="A29" s="506"/>
      <c r="B29" s="507"/>
      <c r="C29" s="507"/>
      <c r="D29" s="508"/>
      <c r="E29" s="508"/>
      <c r="F29" s="508"/>
      <c r="G29" s="508"/>
      <c r="H29" s="508"/>
      <c r="I29" s="509"/>
      <c r="J29" s="510"/>
    </row>
    <row r="30" spans="1:10" ht="12.75" customHeight="1">
      <c r="A30" s="506"/>
      <c r="B30" s="507"/>
      <c r="C30" s="507"/>
      <c r="D30" s="508"/>
      <c r="E30" s="508"/>
      <c r="F30" s="508"/>
      <c r="G30" s="508"/>
      <c r="H30" s="508"/>
      <c r="I30" s="509"/>
      <c r="J30" s="510"/>
    </row>
    <row r="31" spans="1:10" ht="14.25">
      <c r="A31" s="86"/>
      <c r="B31" s="88"/>
      <c r="C31" s="88"/>
      <c r="D31" s="88"/>
      <c r="E31" s="88"/>
      <c r="F31" s="88"/>
      <c r="G31" s="88"/>
      <c r="H31" s="88"/>
      <c r="I31" s="88"/>
      <c r="J31" s="87"/>
    </row>
    <row r="32" spans="1:10" ht="14.25">
      <c r="A32" s="86" t="s">
        <v>19</v>
      </c>
      <c r="B32" s="81"/>
      <c r="C32" s="81"/>
      <c r="D32" s="81"/>
      <c r="E32" s="81"/>
      <c r="F32" s="81"/>
      <c r="G32" s="81"/>
      <c r="H32" s="81"/>
      <c r="I32" s="81"/>
      <c r="J32" s="80"/>
    </row>
    <row r="33" spans="1:10" ht="12.75">
      <c r="A33" s="85"/>
      <c r="B33" s="83"/>
      <c r="C33" s="84"/>
      <c r="D33" s="84"/>
      <c r="E33" s="84"/>
      <c r="F33" s="83"/>
      <c r="G33" s="83"/>
      <c r="H33" s="81"/>
      <c r="I33" s="81"/>
      <c r="J33" s="80"/>
    </row>
    <row r="34" spans="1:10" ht="12.75">
      <c r="A34" s="85"/>
      <c r="B34" s="83"/>
      <c r="C34" s="84"/>
      <c r="D34" s="84"/>
      <c r="E34" s="84"/>
      <c r="F34" s="83"/>
      <c r="G34" s="83"/>
      <c r="H34" s="81"/>
      <c r="I34" s="81"/>
      <c r="J34" s="80"/>
    </row>
    <row r="35" spans="1:10" ht="12.75">
      <c r="A35" s="85"/>
      <c r="B35" s="83"/>
      <c r="C35" s="84"/>
      <c r="D35" s="84"/>
      <c r="E35" s="84"/>
      <c r="F35" s="83"/>
      <c r="G35" s="83"/>
      <c r="H35" s="81"/>
      <c r="I35" s="81"/>
      <c r="J35" s="80"/>
    </row>
    <row r="36" spans="1:10" ht="12.75">
      <c r="A36" s="491" t="s">
        <v>525</v>
      </c>
      <c r="B36" s="492"/>
      <c r="C36" s="492"/>
      <c r="D36" s="492"/>
      <c r="E36" s="492"/>
      <c r="F36" s="492"/>
      <c r="G36" s="492"/>
      <c r="H36" s="492"/>
      <c r="I36" s="492"/>
      <c r="J36" s="493"/>
    </row>
    <row r="37" spans="1:10" ht="12.75">
      <c r="A37" s="85"/>
      <c r="B37" s="83"/>
      <c r="C37" s="84"/>
      <c r="D37" s="84"/>
      <c r="E37" s="84"/>
      <c r="F37" s="83"/>
      <c r="G37" s="83"/>
      <c r="H37" s="81"/>
      <c r="I37" s="81"/>
      <c r="J37" s="80"/>
    </row>
    <row r="38" spans="1:10" ht="12.75">
      <c r="A38" s="85"/>
      <c r="B38" s="83"/>
      <c r="C38" s="84"/>
      <c r="D38" s="84"/>
      <c r="E38" s="84"/>
      <c r="F38" s="83"/>
      <c r="G38" s="83"/>
      <c r="H38" s="81"/>
      <c r="I38" s="81"/>
      <c r="J38" s="80"/>
    </row>
    <row r="39" spans="1:10" ht="12.75">
      <c r="A39" s="85"/>
      <c r="B39" s="83"/>
      <c r="C39" s="84"/>
      <c r="D39" s="84"/>
      <c r="E39" s="84"/>
      <c r="F39" s="83"/>
      <c r="G39" s="83"/>
      <c r="H39" s="81"/>
      <c r="I39" s="81"/>
      <c r="J39" s="80"/>
    </row>
    <row r="40" spans="1:10" ht="12.75">
      <c r="A40" s="85"/>
      <c r="B40" s="83"/>
      <c r="C40" s="84"/>
      <c r="D40" s="84"/>
      <c r="E40" s="84"/>
      <c r="F40" s="83"/>
      <c r="G40" s="83"/>
      <c r="H40" s="81"/>
      <c r="I40" s="81"/>
      <c r="J40" s="80"/>
    </row>
    <row r="41" spans="1:10" ht="12.75">
      <c r="A41" s="494" t="s">
        <v>18</v>
      </c>
      <c r="B41" s="495"/>
      <c r="C41" s="495"/>
      <c r="D41" s="495"/>
      <c r="E41" s="495"/>
      <c r="F41" s="495"/>
      <c r="G41" s="495"/>
      <c r="H41" s="495"/>
      <c r="I41" s="495"/>
      <c r="J41" s="496"/>
    </row>
    <row r="42" spans="1:10" ht="12.75">
      <c r="A42" s="481" t="s">
        <v>17</v>
      </c>
      <c r="B42" s="482"/>
      <c r="C42" s="482"/>
      <c r="D42" s="482"/>
      <c r="E42" s="482"/>
      <c r="F42" s="482"/>
      <c r="G42" s="482"/>
      <c r="H42" s="482"/>
      <c r="I42" s="482"/>
      <c r="J42" s="483"/>
    </row>
    <row r="43" spans="1:10" ht="12.75">
      <c r="A43" s="481" t="s">
        <v>16</v>
      </c>
      <c r="B43" s="482"/>
      <c r="C43" s="482"/>
      <c r="D43" s="482"/>
      <c r="E43" s="482"/>
      <c r="F43" s="482"/>
      <c r="G43" s="482"/>
      <c r="H43" s="482"/>
      <c r="I43" s="482"/>
      <c r="J43" s="483"/>
    </row>
    <row r="44" spans="1:10" ht="12.75">
      <c r="A44" s="481" t="s">
        <v>15</v>
      </c>
      <c r="B44" s="482"/>
      <c r="C44" s="482"/>
      <c r="D44" s="482"/>
      <c r="E44" s="482"/>
      <c r="F44" s="482"/>
      <c r="G44" s="482"/>
      <c r="H44" s="482"/>
      <c r="I44" s="482"/>
      <c r="J44" s="483"/>
    </row>
    <row r="45" spans="1:10" ht="12.75">
      <c r="A45" s="82"/>
      <c r="B45" s="81"/>
      <c r="C45" s="81"/>
      <c r="D45" s="81"/>
      <c r="E45" s="81"/>
      <c r="F45" s="81"/>
      <c r="G45" s="81"/>
      <c r="H45" s="81"/>
      <c r="I45" s="81"/>
      <c r="J45" s="80"/>
    </row>
    <row r="46" spans="1:10" ht="12.75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 ht="12.75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 ht="12.75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 ht="12.75">
      <c r="A49" s="82"/>
      <c r="B49" s="81"/>
      <c r="C49" s="81"/>
      <c r="D49" s="81"/>
      <c r="E49" s="81"/>
      <c r="F49" s="81"/>
      <c r="G49" s="81"/>
      <c r="H49" s="81"/>
      <c r="I49" s="81"/>
      <c r="J49" s="80"/>
    </row>
    <row r="50" spans="1:10" ht="12.75">
      <c r="A50" s="82"/>
      <c r="B50" s="81"/>
      <c r="C50" s="81"/>
      <c r="D50" s="81"/>
      <c r="E50" s="81"/>
      <c r="F50" s="81"/>
      <c r="G50" s="81"/>
      <c r="H50" s="81"/>
      <c r="I50" s="81"/>
      <c r="J50" s="80"/>
    </row>
    <row r="51" spans="1:10" ht="12.75">
      <c r="A51" s="82"/>
      <c r="B51" s="81"/>
      <c r="C51" s="81"/>
      <c r="D51" s="81"/>
      <c r="E51" s="81"/>
      <c r="F51" s="81"/>
      <c r="G51" s="81"/>
      <c r="H51" s="81"/>
      <c r="I51" s="81"/>
      <c r="J51" s="80"/>
    </row>
    <row r="52" spans="1:10" ht="12.75">
      <c r="A52" s="82"/>
      <c r="B52" s="81"/>
      <c r="C52" s="81"/>
      <c r="D52" s="81"/>
      <c r="E52" s="81"/>
      <c r="F52" s="81"/>
      <c r="G52" s="81"/>
      <c r="H52" s="81"/>
      <c r="I52" s="81"/>
      <c r="J52" s="80"/>
    </row>
    <row r="53" spans="1:10" ht="12.75">
      <c r="A53" s="82"/>
      <c r="B53" s="81"/>
      <c r="C53" s="81"/>
      <c r="D53" s="81"/>
      <c r="E53" s="81"/>
      <c r="F53" s="81"/>
      <c r="G53" s="81"/>
      <c r="H53" s="81"/>
      <c r="I53" s="81"/>
      <c r="J53" s="80"/>
    </row>
  </sheetData>
  <sheetProtection/>
  <mergeCells count="28">
    <mergeCell ref="A43:J43"/>
    <mergeCell ref="I29:J30"/>
    <mergeCell ref="D25:H26"/>
    <mergeCell ref="I25:J26"/>
    <mergeCell ref="A21:C22"/>
    <mergeCell ref="A27:C28"/>
    <mergeCell ref="D27:H28"/>
    <mergeCell ref="I27:J28"/>
    <mergeCell ref="A25:C26"/>
    <mergeCell ref="A23:C24"/>
    <mergeCell ref="D23:H24"/>
    <mergeCell ref="I23:J24"/>
    <mergeCell ref="D21:H22"/>
    <mergeCell ref="I21:J22"/>
    <mergeCell ref="A44:J44"/>
    <mergeCell ref="A36:J36"/>
    <mergeCell ref="A41:J41"/>
    <mergeCell ref="A42:J42"/>
    <mergeCell ref="A29:C30"/>
    <mergeCell ref="D29:H30"/>
    <mergeCell ref="A11:J11"/>
    <mergeCell ref="A12:J12"/>
    <mergeCell ref="A17:C18"/>
    <mergeCell ref="D17:H18"/>
    <mergeCell ref="I17:J18"/>
    <mergeCell ref="A19:C20"/>
    <mergeCell ref="D19:H20"/>
    <mergeCell ref="I19:J2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90" zoomScaleSheetLayoutView="90" zoomScalePageLayoutView="0" workbookViewId="0" topLeftCell="A10">
      <selection activeCell="A31" sqref="A31:J31"/>
    </sheetView>
  </sheetViews>
  <sheetFormatPr defaultColWidth="9.140625" defaultRowHeight="12.75"/>
  <cols>
    <col min="1" max="3" width="9.140625" style="76" customWidth="1"/>
    <col min="4" max="4" width="9.8515625" style="76" bestFit="1" customWidth="1"/>
    <col min="5" max="9" width="9.140625" style="76" customWidth="1"/>
    <col min="10" max="10" width="9.28125" style="76" bestFit="1" customWidth="1"/>
    <col min="11" max="16384" width="9.140625" style="76" customWidth="1"/>
  </cols>
  <sheetData>
    <row r="1" spans="1:10" ht="12.75">
      <c r="A1" s="95"/>
      <c r="B1" s="94"/>
      <c r="C1" s="94"/>
      <c r="D1" s="94"/>
      <c r="E1" s="94"/>
      <c r="F1" s="94"/>
      <c r="G1" s="94"/>
      <c r="H1" s="94"/>
      <c r="I1" s="94"/>
      <c r="J1" s="93"/>
    </row>
    <row r="2" spans="1:10" ht="12.75">
      <c r="A2" s="82"/>
      <c r="B2" s="81"/>
      <c r="C2" s="81"/>
      <c r="D2" s="81"/>
      <c r="E2" s="81"/>
      <c r="F2" s="81"/>
      <c r="G2" s="81"/>
      <c r="H2" s="81"/>
      <c r="I2" s="81"/>
      <c r="J2" s="80"/>
    </row>
    <row r="3" spans="1:10" ht="12.75">
      <c r="A3" s="82"/>
      <c r="B3" s="81"/>
      <c r="C3" s="81"/>
      <c r="D3" s="81"/>
      <c r="E3" s="81"/>
      <c r="F3" s="81"/>
      <c r="G3" s="81"/>
      <c r="H3" s="81"/>
      <c r="I3" s="81"/>
      <c r="J3" s="80"/>
    </row>
    <row r="4" spans="1:10" ht="12.75">
      <c r="A4" s="82"/>
      <c r="B4" s="81"/>
      <c r="C4" s="81"/>
      <c r="D4" s="81"/>
      <c r="E4" s="81"/>
      <c r="F4" s="81"/>
      <c r="G4" s="81"/>
      <c r="H4" s="81"/>
      <c r="I4" s="81"/>
      <c r="J4" s="80"/>
    </row>
    <row r="5" spans="1:10" ht="12.75">
      <c r="A5" s="82"/>
      <c r="B5" s="81"/>
      <c r="C5" s="81"/>
      <c r="D5" s="81"/>
      <c r="E5" s="81"/>
      <c r="F5" s="81"/>
      <c r="G5" s="81"/>
      <c r="H5" s="81"/>
      <c r="I5" s="81"/>
      <c r="J5" s="80"/>
    </row>
    <row r="6" spans="1:10" ht="12.75">
      <c r="A6" s="82"/>
      <c r="B6" s="81"/>
      <c r="C6" s="81"/>
      <c r="D6" s="81"/>
      <c r="E6" s="81"/>
      <c r="F6" s="81"/>
      <c r="G6" s="81"/>
      <c r="H6" s="81"/>
      <c r="I6" s="81"/>
      <c r="J6" s="80"/>
    </row>
    <row r="7" spans="1:10" ht="12.75">
      <c r="A7" s="82"/>
      <c r="B7" s="81"/>
      <c r="C7" s="81"/>
      <c r="D7" s="81"/>
      <c r="E7" s="81"/>
      <c r="F7" s="81"/>
      <c r="G7" s="81"/>
      <c r="H7" s="81"/>
      <c r="I7" s="81"/>
      <c r="J7" s="80"/>
    </row>
    <row r="8" spans="1:10" ht="12.75">
      <c r="A8" s="82"/>
      <c r="B8" s="81"/>
      <c r="C8" s="81"/>
      <c r="D8" s="81"/>
      <c r="E8" s="81"/>
      <c r="F8" s="81"/>
      <c r="G8" s="81"/>
      <c r="H8" s="81"/>
      <c r="I8" s="81"/>
      <c r="J8" s="80"/>
    </row>
    <row r="9" spans="1:10" ht="12.75">
      <c r="A9" s="82"/>
      <c r="B9" s="81"/>
      <c r="C9" s="81"/>
      <c r="D9" s="81"/>
      <c r="E9" s="81"/>
      <c r="F9" s="81"/>
      <c r="G9" s="81"/>
      <c r="H9" s="81"/>
      <c r="I9" s="81"/>
      <c r="J9" s="80"/>
    </row>
    <row r="10" spans="1:10" ht="12.75">
      <c r="A10" s="82"/>
      <c r="B10" s="81"/>
      <c r="C10" s="81"/>
      <c r="D10" s="81"/>
      <c r="E10" s="81"/>
      <c r="F10" s="81"/>
      <c r="G10" s="81"/>
      <c r="H10" s="81"/>
      <c r="I10" s="81"/>
      <c r="J10" s="80"/>
    </row>
    <row r="11" spans="1:10" ht="18">
      <c r="A11" s="497" t="s">
        <v>26</v>
      </c>
      <c r="B11" s="498"/>
      <c r="C11" s="498"/>
      <c r="D11" s="498"/>
      <c r="E11" s="498"/>
      <c r="F11" s="498"/>
      <c r="G11" s="498"/>
      <c r="H11" s="498"/>
      <c r="I11" s="498"/>
      <c r="J11" s="499"/>
    </row>
    <row r="12" spans="1:10" ht="15.75">
      <c r="A12" s="500"/>
      <c r="B12" s="501"/>
      <c r="C12" s="501"/>
      <c r="D12" s="501"/>
      <c r="E12" s="501"/>
      <c r="F12" s="501"/>
      <c r="G12" s="501"/>
      <c r="H12" s="501"/>
      <c r="I12" s="501"/>
      <c r="J12" s="502"/>
    </row>
    <row r="13" spans="1:10" ht="15.75">
      <c r="A13" s="92"/>
      <c r="B13" s="91"/>
      <c r="C13" s="91"/>
      <c r="D13" s="91"/>
      <c r="E13" s="91"/>
      <c r="F13" s="91"/>
      <c r="G13" s="91"/>
      <c r="H13" s="91"/>
      <c r="I13" s="91"/>
      <c r="J13" s="90"/>
    </row>
    <row r="14" spans="1:10" ht="12.75">
      <c r="A14" s="82"/>
      <c r="B14" s="81"/>
      <c r="C14" s="81"/>
      <c r="D14" s="81"/>
      <c r="E14" s="81"/>
      <c r="F14" s="81"/>
      <c r="G14" s="81"/>
      <c r="H14" s="81"/>
      <c r="I14" s="81"/>
      <c r="J14" s="80"/>
    </row>
    <row r="15" spans="1:10" ht="15">
      <c r="A15" s="515" t="s">
        <v>154</v>
      </c>
      <c r="B15" s="516"/>
      <c r="C15" s="516"/>
      <c r="D15" s="516"/>
      <c r="E15" s="233"/>
      <c r="F15" s="233"/>
      <c r="G15" s="516"/>
      <c r="H15" s="516"/>
      <c r="I15" s="516"/>
      <c r="J15" s="517"/>
    </row>
    <row r="16" spans="1:10" ht="14.25">
      <c r="A16" s="234" t="s">
        <v>155</v>
      </c>
      <c r="B16" s="233"/>
      <c r="C16" s="233"/>
      <c r="D16" s="99">
        <v>0.03</v>
      </c>
      <c r="E16" s="233" t="s">
        <v>156</v>
      </c>
      <c r="F16" s="233"/>
      <c r="G16" s="233"/>
      <c r="H16" s="233"/>
      <c r="I16" s="233"/>
      <c r="J16" s="98"/>
    </row>
    <row r="17" spans="1:10" ht="14.25">
      <c r="A17" s="234" t="s">
        <v>157</v>
      </c>
      <c r="B17" s="233"/>
      <c r="C17" s="233"/>
      <c r="D17" s="99">
        <v>0.0139</v>
      </c>
      <c r="E17" s="233" t="s">
        <v>158</v>
      </c>
      <c r="F17" s="233"/>
      <c r="G17" s="233"/>
      <c r="H17" s="233"/>
      <c r="I17" s="233"/>
      <c r="J17" s="98"/>
    </row>
    <row r="18" spans="1:10" ht="14.25">
      <c r="A18" s="234" t="s">
        <v>159</v>
      </c>
      <c r="B18" s="233"/>
      <c r="C18" s="233"/>
      <c r="D18" s="99">
        <v>0.0177</v>
      </c>
      <c r="E18" s="233" t="s">
        <v>160</v>
      </c>
      <c r="F18" s="233"/>
      <c r="G18" s="233"/>
      <c r="H18" s="233"/>
      <c r="I18" s="233"/>
      <c r="J18" s="98"/>
    </row>
    <row r="19" spans="1:10" ht="14.25">
      <c r="A19" s="234" t="s">
        <v>161</v>
      </c>
      <c r="B19" s="233"/>
      <c r="C19" s="233"/>
      <c r="D19" s="99">
        <v>0.0716</v>
      </c>
      <c r="E19" s="233" t="s">
        <v>162</v>
      </c>
      <c r="F19" s="233"/>
      <c r="G19" s="233"/>
      <c r="H19" s="233"/>
      <c r="I19" s="233"/>
      <c r="J19" s="98"/>
    </row>
    <row r="20" spans="1:10" ht="14.25">
      <c r="A20" s="234" t="s">
        <v>163</v>
      </c>
      <c r="B20" s="233"/>
      <c r="C20" s="233"/>
      <c r="D20" s="99">
        <v>0.0065</v>
      </c>
      <c r="E20" s="233" t="s">
        <v>164</v>
      </c>
      <c r="F20" s="233"/>
      <c r="G20" s="233"/>
      <c r="H20" s="233"/>
      <c r="I20" s="233"/>
      <c r="J20" s="98"/>
    </row>
    <row r="21" spans="1:10" ht="14.25">
      <c r="A21" s="234" t="s">
        <v>165</v>
      </c>
      <c r="B21" s="233"/>
      <c r="C21" s="233"/>
      <c r="D21" s="99">
        <v>0.03</v>
      </c>
      <c r="E21" s="233" t="s">
        <v>164</v>
      </c>
      <c r="F21" s="233"/>
      <c r="G21" s="233"/>
      <c r="H21" s="233"/>
      <c r="I21" s="233"/>
      <c r="J21" s="98"/>
    </row>
    <row r="22" spans="1:10" ht="14.25">
      <c r="A22" s="235" t="s">
        <v>166</v>
      </c>
      <c r="B22" s="104"/>
      <c r="C22" s="104"/>
      <c r="D22" s="97">
        <v>0.05</v>
      </c>
      <c r="E22" s="236" t="s">
        <v>164</v>
      </c>
      <c r="F22" s="104"/>
      <c r="G22" s="237"/>
      <c r="H22" s="104"/>
      <c r="I22" s="104"/>
      <c r="J22" s="96"/>
    </row>
    <row r="23" spans="1:10" ht="12.75">
      <c r="A23" s="238"/>
      <c r="B23" s="239"/>
      <c r="C23" s="240"/>
      <c r="D23" s="240"/>
      <c r="E23" s="240"/>
      <c r="F23" s="239"/>
      <c r="G23" s="239"/>
      <c r="H23" s="104"/>
      <c r="I23" s="104"/>
      <c r="J23" s="103"/>
    </row>
    <row r="24" spans="1:10" ht="12.75">
      <c r="A24" s="241"/>
      <c r="B24" s="239"/>
      <c r="C24" s="240"/>
      <c r="D24" s="240"/>
      <c r="E24" s="240"/>
      <c r="F24" s="239"/>
      <c r="G24" s="239"/>
      <c r="H24" s="104"/>
      <c r="I24" s="104"/>
      <c r="J24" s="103"/>
    </row>
    <row r="25" spans="1:10" ht="12.75">
      <c r="A25" s="242" t="s">
        <v>167</v>
      </c>
      <c r="B25" s="239"/>
      <c r="C25" s="240"/>
      <c r="D25" s="240"/>
      <c r="E25" s="240"/>
      <c r="F25" s="239"/>
      <c r="G25" s="239"/>
      <c r="H25" s="104"/>
      <c r="I25" s="104"/>
      <c r="J25" s="103"/>
    </row>
    <row r="26" spans="1:10" ht="12.75">
      <c r="A26" s="238"/>
      <c r="B26" s="239"/>
      <c r="C26" s="240"/>
      <c r="D26" s="240"/>
      <c r="E26" s="240"/>
      <c r="F26" s="239"/>
      <c r="G26" s="239"/>
      <c r="H26" s="104"/>
      <c r="I26" s="104"/>
      <c r="J26" s="103"/>
    </row>
    <row r="27" spans="1:10" ht="14.25">
      <c r="A27" s="234" t="s">
        <v>168</v>
      </c>
      <c r="B27" s="233" t="s">
        <v>169</v>
      </c>
      <c r="C27" s="233"/>
      <c r="D27" s="233"/>
      <c r="E27" s="233"/>
      <c r="F27" s="233"/>
      <c r="G27" s="233"/>
      <c r="H27" s="233"/>
      <c r="I27" s="233"/>
      <c r="J27" s="243"/>
    </row>
    <row r="28" spans="1:10" ht="14.25">
      <c r="A28" s="234"/>
      <c r="B28" s="233"/>
      <c r="C28" s="233"/>
      <c r="D28" s="233"/>
      <c r="E28" s="233"/>
      <c r="F28" s="233"/>
      <c r="G28" s="233"/>
      <c r="H28" s="233"/>
      <c r="I28" s="233"/>
      <c r="J28" s="243"/>
    </row>
    <row r="29" spans="1:10" ht="15">
      <c r="A29" s="244" t="s">
        <v>168</v>
      </c>
      <c r="B29" s="245">
        <f>((((1+D16)*(1+D17)*(1+D18)*(1+D19))/(1-(SUM(D20:D22))))-1)</f>
        <v>0.24674109679303813</v>
      </c>
      <c r="C29" s="233"/>
      <c r="D29" s="233"/>
      <c r="E29" s="246"/>
      <c r="F29" s="233"/>
      <c r="G29" s="233"/>
      <c r="H29" s="233"/>
      <c r="I29" s="233"/>
      <c r="J29" s="243"/>
    </row>
    <row r="30" spans="1:10" ht="12.75">
      <c r="A30" s="512" t="s">
        <v>1192</v>
      </c>
      <c r="B30" s="513"/>
      <c r="C30" s="513"/>
      <c r="D30" s="513"/>
      <c r="E30" s="513"/>
      <c r="F30" s="513"/>
      <c r="G30" s="513"/>
      <c r="H30" s="513"/>
      <c r="I30" s="513"/>
      <c r="J30" s="514"/>
    </row>
    <row r="31" spans="1:10" ht="12.75">
      <c r="A31" s="512"/>
      <c r="B31" s="513"/>
      <c r="C31" s="513"/>
      <c r="D31" s="513"/>
      <c r="E31" s="513"/>
      <c r="F31" s="513"/>
      <c r="G31" s="513"/>
      <c r="H31" s="513"/>
      <c r="I31" s="513"/>
      <c r="J31" s="514"/>
    </row>
    <row r="32" spans="1:10" ht="12.75">
      <c r="A32" s="85"/>
      <c r="B32" s="83"/>
      <c r="C32" s="84"/>
      <c r="D32" s="84"/>
      <c r="E32" s="84"/>
      <c r="F32" s="83"/>
      <c r="G32" s="83"/>
      <c r="H32" s="81"/>
      <c r="I32" s="81"/>
      <c r="J32" s="80"/>
    </row>
    <row r="33" spans="1:10" ht="12.75">
      <c r="A33" s="85"/>
      <c r="B33" s="83"/>
      <c r="C33" s="84"/>
      <c r="D33" s="84"/>
      <c r="E33" s="84"/>
      <c r="F33" s="83"/>
      <c r="G33" s="83"/>
      <c r="H33" s="81"/>
      <c r="I33" s="81"/>
      <c r="J33" s="80"/>
    </row>
    <row r="34" spans="1:10" ht="12.75">
      <c r="A34" s="85"/>
      <c r="B34" s="83"/>
      <c r="C34" s="84"/>
      <c r="D34" s="84"/>
      <c r="E34" s="84"/>
      <c r="F34" s="83"/>
      <c r="G34" s="83"/>
      <c r="H34" s="81"/>
      <c r="I34" s="81"/>
      <c r="J34" s="80"/>
    </row>
    <row r="35" spans="1:10" ht="12.75">
      <c r="A35" s="85"/>
      <c r="B35" s="83"/>
      <c r="C35" s="84"/>
      <c r="D35" s="84"/>
      <c r="E35" s="84"/>
      <c r="F35" s="83"/>
      <c r="G35" s="83"/>
      <c r="H35" s="81"/>
      <c r="I35" s="81"/>
      <c r="J35" s="80"/>
    </row>
    <row r="36" spans="1:10" ht="12.75">
      <c r="A36" s="494" t="s">
        <v>18</v>
      </c>
      <c r="B36" s="495"/>
      <c r="C36" s="495"/>
      <c r="D36" s="495"/>
      <c r="E36" s="495"/>
      <c r="F36" s="495"/>
      <c r="G36" s="495"/>
      <c r="H36" s="495"/>
      <c r="I36" s="495"/>
      <c r="J36" s="496"/>
    </row>
    <row r="37" spans="1:10" ht="12.75">
      <c r="A37" s="481" t="s">
        <v>17</v>
      </c>
      <c r="B37" s="482"/>
      <c r="C37" s="482"/>
      <c r="D37" s="482"/>
      <c r="E37" s="482"/>
      <c r="F37" s="482"/>
      <c r="G37" s="482"/>
      <c r="H37" s="482"/>
      <c r="I37" s="482"/>
      <c r="J37" s="483"/>
    </row>
    <row r="38" spans="1:10" ht="12.75">
      <c r="A38" s="481" t="s">
        <v>16</v>
      </c>
      <c r="B38" s="482"/>
      <c r="C38" s="482"/>
      <c r="D38" s="482"/>
      <c r="E38" s="482"/>
      <c r="F38" s="482"/>
      <c r="G38" s="482"/>
      <c r="H38" s="482"/>
      <c r="I38" s="482"/>
      <c r="J38" s="483"/>
    </row>
    <row r="39" spans="1:10" ht="12.75">
      <c r="A39" s="481" t="s">
        <v>15</v>
      </c>
      <c r="B39" s="482"/>
      <c r="C39" s="482"/>
      <c r="D39" s="482"/>
      <c r="E39" s="482"/>
      <c r="F39" s="482"/>
      <c r="G39" s="482"/>
      <c r="H39" s="482"/>
      <c r="I39" s="482"/>
      <c r="J39" s="483"/>
    </row>
    <row r="40" spans="1:10" ht="12.75">
      <c r="A40" s="82"/>
      <c r="B40" s="81"/>
      <c r="C40" s="81"/>
      <c r="D40" s="81"/>
      <c r="E40" s="81"/>
      <c r="F40" s="81"/>
      <c r="G40" s="81"/>
      <c r="H40" s="81"/>
      <c r="I40" s="81"/>
      <c r="J40" s="80"/>
    </row>
    <row r="41" spans="1:10" ht="12.75">
      <c r="A41" s="82"/>
      <c r="B41" s="81"/>
      <c r="C41" s="81"/>
      <c r="D41" s="81"/>
      <c r="E41" s="81"/>
      <c r="F41" s="81"/>
      <c r="G41" s="81"/>
      <c r="H41" s="81"/>
      <c r="I41" s="81"/>
      <c r="J41" s="80"/>
    </row>
    <row r="42" spans="1:10" ht="12.75">
      <c r="A42" s="82"/>
      <c r="B42" s="81"/>
      <c r="C42" s="81"/>
      <c r="D42" s="81"/>
      <c r="E42" s="81"/>
      <c r="F42" s="81"/>
      <c r="G42" s="81"/>
      <c r="H42" s="81"/>
      <c r="I42" s="81"/>
      <c r="J42" s="80"/>
    </row>
    <row r="43" spans="1:10" ht="12.75">
      <c r="A43" s="82"/>
      <c r="B43" s="81"/>
      <c r="C43" s="81"/>
      <c r="D43" s="81"/>
      <c r="E43" s="81"/>
      <c r="F43" s="81"/>
      <c r="G43" s="81"/>
      <c r="H43" s="81"/>
      <c r="I43" s="81"/>
      <c r="J43" s="80"/>
    </row>
    <row r="44" spans="1:10" ht="12.75">
      <c r="A44" s="82"/>
      <c r="B44" s="81"/>
      <c r="C44" s="81"/>
      <c r="D44" s="81"/>
      <c r="E44" s="81"/>
      <c r="F44" s="81"/>
      <c r="G44" s="81"/>
      <c r="H44" s="81"/>
      <c r="I44" s="81"/>
      <c r="J44" s="80"/>
    </row>
    <row r="45" spans="1:10" ht="12.75">
      <c r="A45" s="82"/>
      <c r="B45" s="81"/>
      <c r="C45" s="81"/>
      <c r="D45" s="81"/>
      <c r="E45" s="81"/>
      <c r="F45" s="81"/>
      <c r="G45" s="81"/>
      <c r="H45" s="81"/>
      <c r="I45" s="81"/>
      <c r="J45" s="80"/>
    </row>
    <row r="46" spans="1:10" ht="12.75">
      <c r="A46" s="82"/>
      <c r="B46" s="81"/>
      <c r="C46" s="81"/>
      <c r="D46" s="81"/>
      <c r="E46" s="81"/>
      <c r="F46" s="81"/>
      <c r="G46" s="81"/>
      <c r="H46" s="81"/>
      <c r="I46" s="81"/>
      <c r="J46" s="80"/>
    </row>
    <row r="47" spans="1:10" ht="12.75">
      <c r="A47" s="82"/>
      <c r="B47" s="81"/>
      <c r="C47" s="81"/>
      <c r="D47" s="81"/>
      <c r="E47" s="81"/>
      <c r="F47" s="81"/>
      <c r="G47" s="81"/>
      <c r="H47" s="81"/>
      <c r="I47" s="81"/>
      <c r="J47" s="80"/>
    </row>
    <row r="48" spans="1:10" ht="12.75">
      <c r="A48" s="82"/>
      <c r="B48" s="81"/>
      <c r="C48" s="81"/>
      <c r="D48" s="81"/>
      <c r="E48" s="81"/>
      <c r="F48" s="81"/>
      <c r="G48" s="81"/>
      <c r="H48" s="81"/>
      <c r="I48" s="81"/>
      <c r="J48" s="80"/>
    </row>
    <row r="49" spans="1:10" ht="12.75">
      <c r="A49" s="82"/>
      <c r="B49" s="81"/>
      <c r="C49" s="81"/>
      <c r="D49" s="81"/>
      <c r="E49" s="81"/>
      <c r="F49" s="81"/>
      <c r="G49" s="81"/>
      <c r="H49" s="81"/>
      <c r="I49" s="81"/>
      <c r="J49" s="80"/>
    </row>
    <row r="50" spans="1:10" ht="12.75">
      <c r="A50" s="82"/>
      <c r="B50" s="81"/>
      <c r="C50" s="81"/>
      <c r="D50" s="81"/>
      <c r="E50" s="81"/>
      <c r="F50" s="81"/>
      <c r="G50" s="81"/>
      <c r="H50" s="81"/>
      <c r="I50" s="81"/>
      <c r="J50" s="80"/>
    </row>
    <row r="51" spans="1:10" ht="12.75">
      <c r="A51" s="82"/>
      <c r="B51" s="81"/>
      <c r="C51" s="81"/>
      <c r="D51" s="81"/>
      <c r="E51" s="81"/>
      <c r="F51" s="81"/>
      <c r="G51" s="81"/>
      <c r="H51" s="81"/>
      <c r="I51" s="81"/>
      <c r="J51" s="80"/>
    </row>
    <row r="52" spans="1:10" ht="12.75">
      <c r="A52" s="82"/>
      <c r="B52" s="81"/>
      <c r="C52" s="81"/>
      <c r="D52" s="81"/>
      <c r="E52" s="81"/>
      <c r="F52" s="81"/>
      <c r="G52" s="81"/>
      <c r="H52" s="81"/>
      <c r="I52" s="81"/>
      <c r="J52" s="80"/>
    </row>
    <row r="53" spans="1:10" ht="12.75">
      <c r="A53" s="82"/>
      <c r="B53" s="81"/>
      <c r="C53" s="81"/>
      <c r="D53" s="81"/>
      <c r="E53" s="81"/>
      <c r="F53" s="81"/>
      <c r="G53" s="81"/>
      <c r="H53" s="81"/>
      <c r="I53" s="81"/>
      <c r="J53" s="80"/>
    </row>
    <row r="54" spans="1:10" ht="12.75">
      <c r="A54" s="82"/>
      <c r="B54" s="81"/>
      <c r="C54" s="81"/>
      <c r="D54" s="81"/>
      <c r="E54" s="81"/>
      <c r="F54" s="81"/>
      <c r="G54" s="81"/>
      <c r="H54" s="81"/>
      <c r="I54" s="81"/>
      <c r="J54" s="80"/>
    </row>
    <row r="55" spans="1:10" ht="13.5" thickBot="1">
      <c r="A55" s="79"/>
      <c r="B55" s="78"/>
      <c r="C55" s="78"/>
      <c r="D55" s="78"/>
      <c r="E55" s="78"/>
      <c r="F55" s="78"/>
      <c r="G55" s="78"/>
      <c r="H55" s="78"/>
      <c r="I55" s="78"/>
      <c r="J55" s="77"/>
    </row>
  </sheetData>
  <sheetProtection/>
  <mergeCells count="10">
    <mergeCell ref="A30:J30"/>
    <mergeCell ref="A37:J37"/>
    <mergeCell ref="A38:J38"/>
    <mergeCell ref="A39:J39"/>
    <mergeCell ref="A11:J11"/>
    <mergeCell ref="A12:J12"/>
    <mergeCell ref="A31:J31"/>
    <mergeCell ref="A36:J36"/>
    <mergeCell ref="A15:D15"/>
    <mergeCell ref="G15:J1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3"/>
  <sheetViews>
    <sheetView showGridLines="0" showZero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575" sqref="A575"/>
    </sheetView>
  </sheetViews>
  <sheetFormatPr defaultColWidth="9.140625" defaultRowHeight="12.75"/>
  <cols>
    <col min="1" max="1" width="7.00390625" style="205" bestFit="1" customWidth="1"/>
    <col min="2" max="2" width="18.140625" style="205" customWidth="1"/>
    <col min="3" max="3" width="13.421875" style="205" bestFit="1" customWidth="1"/>
    <col min="4" max="4" width="66.140625" style="177" customWidth="1"/>
    <col min="5" max="5" width="9.00390625" style="206" customWidth="1"/>
    <col min="6" max="6" width="5.140625" style="207" customWidth="1"/>
    <col min="7" max="7" width="8.7109375" style="208" customWidth="1"/>
    <col min="8" max="8" width="11.28125" style="209" customWidth="1"/>
    <col min="9" max="10" width="10.00390625" style="209" customWidth="1"/>
    <col min="11" max="11" width="9.8515625" style="5" customWidth="1"/>
    <col min="12" max="12" width="9.140625" style="176" customWidth="1"/>
    <col min="13" max="16384" width="9.140625" style="177" customWidth="1"/>
  </cols>
  <sheetData>
    <row r="1" spans="1:11" ht="15.75">
      <c r="A1" s="175"/>
      <c r="B1" s="175"/>
      <c r="C1" s="175"/>
      <c r="D1" s="1"/>
      <c r="E1" s="524" t="s">
        <v>275</v>
      </c>
      <c r="F1" s="525"/>
      <c r="G1" s="525"/>
      <c r="H1" s="525"/>
      <c r="I1" s="525"/>
      <c r="J1" s="525"/>
      <c r="K1" s="526"/>
    </row>
    <row r="2" spans="1:11" ht="31.5">
      <c r="A2" s="175"/>
      <c r="B2" s="175"/>
      <c r="C2" s="175"/>
      <c r="D2" s="1" t="s">
        <v>173</v>
      </c>
      <c r="E2" s="524" t="s">
        <v>184</v>
      </c>
      <c r="F2" s="525"/>
      <c r="G2" s="525"/>
      <c r="H2" s="525"/>
      <c r="I2" s="525"/>
      <c r="J2" s="525"/>
      <c r="K2" s="526"/>
    </row>
    <row r="3" spans="1:11" ht="27.75" customHeight="1">
      <c r="A3" s="175"/>
      <c r="B3" s="175"/>
      <c r="C3" s="175"/>
      <c r="D3" s="1" t="s">
        <v>174</v>
      </c>
      <c r="E3" s="534" t="s">
        <v>145</v>
      </c>
      <c r="F3" s="535"/>
      <c r="G3" s="538">
        <v>2822</v>
      </c>
      <c r="H3" s="539"/>
      <c r="I3" s="2" t="s">
        <v>50</v>
      </c>
      <c r="J3" s="530" t="s">
        <v>537</v>
      </c>
      <c r="K3" s="531"/>
    </row>
    <row r="4" spans="1:11" ht="25.5">
      <c r="A4" s="175"/>
      <c r="B4" s="175"/>
      <c r="C4" s="175"/>
      <c r="D4" s="178"/>
      <c r="E4" s="536" t="s">
        <v>51</v>
      </c>
      <c r="F4" s="537"/>
      <c r="G4" s="532">
        <f>J635/G3</f>
        <v>906.9852883070854</v>
      </c>
      <c r="H4" s="533"/>
      <c r="I4" s="3" t="s">
        <v>52</v>
      </c>
      <c r="J4" s="532"/>
      <c r="K4" s="533"/>
    </row>
    <row r="5" spans="1:10" ht="11.25">
      <c r="A5" s="179"/>
      <c r="B5" s="179"/>
      <c r="C5" s="179"/>
      <c r="D5" s="180"/>
      <c r="E5" s="181"/>
      <c r="F5" s="182"/>
      <c r="G5" s="179"/>
      <c r="H5" s="180"/>
      <c r="I5" s="180"/>
      <c r="J5" s="4"/>
    </row>
    <row r="6" spans="1:12" s="184" customFormat="1" ht="11.25">
      <c r="A6" s="527" t="s">
        <v>276</v>
      </c>
      <c r="B6" s="528"/>
      <c r="C6" s="528"/>
      <c r="D6" s="528"/>
      <c r="E6" s="528"/>
      <c r="F6" s="528"/>
      <c r="G6" s="528"/>
      <c r="H6" s="528"/>
      <c r="I6" s="528"/>
      <c r="J6" s="528"/>
      <c r="K6" s="529"/>
      <c r="L6" s="183"/>
    </row>
    <row r="7" spans="1:12" s="185" customFormat="1" ht="11.25">
      <c r="A7" s="46" t="s">
        <v>53</v>
      </c>
      <c r="B7" s="46" t="s">
        <v>27</v>
      </c>
      <c r="C7" s="26" t="s">
        <v>29</v>
      </c>
      <c r="D7" s="26" t="s">
        <v>54</v>
      </c>
      <c r="E7" s="48" t="s">
        <v>55</v>
      </c>
      <c r="F7" s="26" t="s">
        <v>56</v>
      </c>
      <c r="G7" s="45" t="s">
        <v>57</v>
      </c>
      <c r="H7" s="49" t="s">
        <v>58</v>
      </c>
      <c r="I7" s="49" t="s">
        <v>59</v>
      </c>
      <c r="J7" s="49" t="s">
        <v>60</v>
      </c>
      <c r="K7" s="50" t="s">
        <v>61</v>
      </c>
      <c r="L7" s="210"/>
    </row>
    <row r="8" spans="1:12" s="184" customFormat="1" ht="11.25">
      <c r="A8" s="46">
        <v>1</v>
      </c>
      <c r="B8" s="46"/>
      <c r="C8" s="46"/>
      <c r="D8" s="20" t="s">
        <v>109</v>
      </c>
      <c r="E8" s="52"/>
      <c r="F8" s="26"/>
      <c r="G8" s="46"/>
      <c r="H8" s="20"/>
      <c r="I8" s="20"/>
      <c r="J8" s="27">
        <f>SUM(J9:J10)</f>
        <v>2098.8</v>
      </c>
      <c r="K8" s="42">
        <f>J8/$J$633</f>
        <v>0.0010223275841445385</v>
      </c>
      <c r="L8" s="183"/>
    </row>
    <row r="9" spans="1:13" ht="12.75">
      <c r="A9" s="111" t="s">
        <v>62</v>
      </c>
      <c r="B9" s="129" t="s">
        <v>30</v>
      </c>
      <c r="C9" s="129" t="s">
        <v>175</v>
      </c>
      <c r="D9" s="113" t="s">
        <v>149</v>
      </c>
      <c r="E9" s="122">
        <v>6</v>
      </c>
      <c r="F9" s="11" t="s">
        <v>63</v>
      </c>
      <c r="G9" s="110">
        <f>M9*0.15</f>
        <v>47.568</v>
      </c>
      <c r="H9" s="110">
        <f>M9*0.85</f>
        <v>269.552</v>
      </c>
      <c r="I9" s="110">
        <f>G9+H9</f>
        <v>317.12</v>
      </c>
      <c r="J9" s="110">
        <f>E9*I9</f>
        <v>1902.72</v>
      </c>
      <c r="K9" s="114">
        <f>J9/$J$633</f>
        <v>0.0009268168195652259</v>
      </c>
      <c r="M9">
        <v>317.12</v>
      </c>
    </row>
    <row r="10" spans="1:11" ht="22.5">
      <c r="A10" s="111" t="s">
        <v>64</v>
      </c>
      <c r="B10" s="220" t="s">
        <v>39</v>
      </c>
      <c r="C10" s="129" t="s">
        <v>452</v>
      </c>
      <c r="D10" s="113" t="s">
        <v>40</v>
      </c>
      <c r="E10" s="221">
        <v>1</v>
      </c>
      <c r="F10" s="11" t="s">
        <v>65</v>
      </c>
      <c r="G10" s="222"/>
      <c r="H10" s="110">
        <v>196.08</v>
      </c>
      <c r="I10" s="110">
        <f>G10+H10</f>
        <v>196.08</v>
      </c>
      <c r="J10" s="110">
        <f>E10*I10</f>
        <v>196.08</v>
      </c>
      <c r="K10" s="114">
        <f>J10/$J$633</f>
        <v>9.551076457931251E-05</v>
      </c>
    </row>
    <row r="11" spans="1:12" s="184" customFormat="1" ht="11.25">
      <c r="A11" s="46">
        <v>2</v>
      </c>
      <c r="B11" s="187"/>
      <c r="C11" s="187"/>
      <c r="D11" s="20" t="s">
        <v>110</v>
      </c>
      <c r="E11" s="52"/>
      <c r="F11" s="26"/>
      <c r="G11" s="46"/>
      <c r="H11" s="20"/>
      <c r="I11" s="20"/>
      <c r="J11" s="27">
        <f>SUM(J12:J14)</f>
        <v>28756.460000000003</v>
      </c>
      <c r="K11" s="42">
        <f>J11/$J$633</f>
        <v>0.014007300495687562</v>
      </c>
      <c r="L11" s="183"/>
    </row>
    <row r="12" spans="1:13" ht="22.5">
      <c r="A12" s="6" t="s">
        <v>114</v>
      </c>
      <c r="B12" s="111" t="s">
        <v>30</v>
      </c>
      <c r="C12" s="111">
        <v>93207</v>
      </c>
      <c r="D12" s="115" t="s">
        <v>1195</v>
      </c>
      <c r="E12" s="473">
        <v>50</v>
      </c>
      <c r="F12" s="8" t="s">
        <v>63</v>
      </c>
      <c r="G12" s="110">
        <f>M12*0.15</f>
        <v>76.896</v>
      </c>
      <c r="H12" s="110">
        <f>M12*0.85</f>
        <v>435.74399999999997</v>
      </c>
      <c r="I12" s="110">
        <f>G12+H12</f>
        <v>512.64</v>
      </c>
      <c r="J12" s="110">
        <f>E12*I12</f>
        <v>25632</v>
      </c>
      <c r="K12" s="114">
        <f>J12/$J$633</f>
        <v>0.012485372897271207</v>
      </c>
      <c r="M12">
        <v>512.64</v>
      </c>
    </row>
    <row r="13" spans="1:11" ht="12.75">
      <c r="A13" s="6" t="s">
        <v>36</v>
      </c>
      <c r="B13" s="111" t="s">
        <v>31</v>
      </c>
      <c r="C13" s="112" t="s">
        <v>37</v>
      </c>
      <c r="D13" s="117" t="s">
        <v>41</v>
      </c>
      <c r="E13" s="116">
        <v>1</v>
      </c>
      <c r="F13" s="8" t="s">
        <v>65</v>
      </c>
      <c r="G13" s="7">
        <v>1507.43</v>
      </c>
      <c r="H13" s="7">
        <v>736.4</v>
      </c>
      <c r="I13" s="109">
        <f>G13+H13</f>
        <v>2243.83</v>
      </c>
      <c r="J13" s="109">
        <f>E13*I13</f>
        <v>2243.83</v>
      </c>
      <c r="K13" s="114">
        <f>J13/$J$633</f>
        <v>0.0010929718425438534</v>
      </c>
    </row>
    <row r="14" spans="1:13" ht="22.5">
      <c r="A14" s="6" t="s">
        <v>38</v>
      </c>
      <c r="B14" s="111" t="s">
        <v>30</v>
      </c>
      <c r="C14" s="111">
        <v>41598</v>
      </c>
      <c r="D14" s="118" t="s">
        <v>1196</v>
      </c>
      <c r="E14" s="474">
        <v>1</v>
      </c>
      <c r="F14" s="119" t="s">
        <v>65</v>
      </c>
      <c r="G14" s="110">
        <f>M14*0.15</f>
        <v>132.09449999999998</v>
      </c>
      <c r="H14" s="110">
        <f>M14*0.85</f>
        <v>748.5355</v>
      </c>
      <c r="I14" s="110">
        <f>G14+H14</f>
        <v>880.6299999999999</v>
      </c>
      <c r="J14" s="110">
        <f>E14*I14</f>
        <v>880.6299999999999</v>
      </c>
      <c r="K14" s="114">
        <f>J14/$J$633</f>
        <v>0.00042895575587250084</v>
      </c>
      <c r="M14">
        <v>880.63</v>
      </c>
    </row>
    <row r="15" spans="1:12" s="184" customFormat="1" ht="11.25">
      <c r="A15" s="46">
        <v>3</v>
      </c>
      <c r="B15" s="187"/>
      <c r="C15" s="187"/>
      <c r="D15" s="20" t="s">
        <v>66</v>
      </c>
      <c r="E15" s="52"/>
      <c r="F15" s="26"/>
      <c r="G15" s="46"/>
      <c r="H15" s="20"/>
      <c r="I15" s="20"/>
      <c r="J15" s="27">
        <f>SUM(J16:J16)</f>
        <v>0</v>
      </c>
      <c r="K15" s="42">
        <f>J15/$J$633</f>
        <v>0</v>
      </c>
      <c r="L15" s="183"/>
    </row>
    <row r="16" spans="1:12" s="189" customFormat="1" ht="11.25">
      <c r="A16" s="111"/>
      <c r="B16" s="223"/>
      <c r="C16" s="223"/>
      <c r="D16" s="113" t="s">
        <v>182</v>
      </c>
      <c r="E16" s="122"/>
      <c r="F16" s="11"/>
      <c r="G16" s="219"/>
      <c r="H16" s="219"/>
      <c r="I16" s="219"/>
      <c r="J16" s="219"/>
      <c r="K16" s="114"/>
      <c r="L16" s="195"/>
    </row>
    <row r="17" spans="1:11" ht="11.25">
      <c r="A17" s="46">
        <v>4</v>
      </c>
      <c r="B17" s="187"/>
      <c r="C17" s="187"/>
      <c r="D17" s="20" t="s">
        <v>68</v>
      </c>
      <c r="E17" s="52"/>
      <c r="F17" s="26"/>
      <c r="G17" s="46"/>
      <c r="H17" s="20"/>
      <c r="I17" s="20"/>
      <c r="J17" s="27">
        <f>SUM(J18:J20)</f>
        <v>7676.48</v>
      </c>
      <c r="K17" s="42">
        <f>J17/$J$633</f>
        <v>0.003739221104027952</v>
      </c>
    </row>
    <row r="18" spans="1:12" s="189" customFormat="1" ht="11.25">
      <c r="A18" s="111" t="s">
        <v>103</v>
      </c>
      <c r="B18" s="211" t="s">
        <v>31</v>
      </c>
      <c r="C18" s="129" t="s">
        <v>32</v>
      </c>
      <c r="D18" s="113" t="s">
        <v>146</v>
      </c>
      <c r="E18" s="122">
        <v>40</v>
      </c>
      <c r="F18" s="11" t="s">
        <v>67</v>
      </c>
      <c r="G18" s="110">
        <v>7.63</v>
      </c>
      <c r="H18" s="110">
        <v>40.83</v>
      </c>
      <c r="I18" s="110">
        <f>G18+H18</f>
        <v>48.46</v>
      </c>
      <c r="J18" s="110">
        <f>E18*I18</f>
        <v>1938.4</v>
      </c>
      <c r="K18" s="114">
        <f>J18/$J$633</f>
        <v>0.0009441965833360841</v>
      </c>
      <c r="L18" s="195"/>
    </row>
    <row r="19" spans="1:12" s="189" customFormat="1" ht="11.25">
      <c r="A19" s="111" t="s">
        <v>42</v>
      </c>
      <c r="B19" s="111" t="s">
        <v>31</v>
      </c>
      <c r="C19" s="112" t="s">
        <v>43</v>
      </c>
      <c r="D19" s="121" t="s">
        <v>453</v>
      </c>
      <c r="E19" s="122">
        <v>48</v>
      </c>
      <c r="F19" s="11" t="s">
        <v>70</v>
      </c>
      <c r="G19" s="110">
        <f>2.49*4</f>
        <v>9.96</v>
      </c>
      <c r="H19" s="110">
        <f>10*4</f>
        <v>40</v>
      </c>
      <c r="I19" s="110">
        <f>G19+H19</f>
        <v>49.96</v>
      </c>
      <c r="J19" s="110">
        <f>E19*I19</f>
        <v>2398.08</v>
      </c>
      <c r="K19" s="17">
        <f>J19/$J$633</f>
        <v>0.001168107172186647</v>
      </c>
      <c r="L19" s="173"/>
    </row>
    <row r="20" spans="1:12" s="184" customFormat="1" ht="11.25">
      <c r="A20" s="13" t="s">
        <v>44</v>
      </c>
      <c r="B20" s="13" t="s">
        <v>31</v>
      </c>
      <c r="C20" s="120" t="s">
        <v>45</v>
      </c>
      <c r="D20" s="123" t="s">
        <v>454</v>
      </c>
      <c r="E20" s="12">
        <v>100</v>
      </c>
      <c r="F20" s="15" t="s">
        <v>63</v>
      </c>
      <c r="G20" s="110">
        <f>3.2*4</f>
        <v>12.8</v>
      </c>
      <c r="H20" s="110">
        <f>5.15*4</f>
        <v>20.6</v>
      </c>
      <c r="I20" s="16">
        <f>G20+H20</f>
        <v>33.400000000000006</v>
      </c>
      <c r="J20" s="16">
        <f>E20*I20</f>
        <v>3340.0000000000005</v>
      </c>
      <c r="K20" s="17">
        <f>J20/$J$633</f>
        <v>0.0016269173485052215</v>
      </c>
      <c r="L20" s="174"/>
    </row>
    <row r="21" spans="1:12" s="184" customFormat="1" ht="11.25">
      <c r="A21" s="46">
        <v>5</v>
      </c>
      <c r="B21" s="187"/>
      <c r="C21" s="187"/>
      <c r="D21" s="20" t="s">
        <v>69</v>
      </c>
      <c r="E21" s="52"/>
      <c r="F21" s="26"/>
      <c r="G21" s="46"/>
      <c r="H21" s="20"/>
      <c r="I21" s="20"/>
      <c r="J21" s="27">
        <f>SUM(J22:J22)</f>
        <v>0</v>
      </c>
      <c r="K21" s="42">
        <f>J21/$J$633</f>
        <v>0</v>
      </c>
      <c r="L21" s="183"/>
    </row>
    <row r="22" spans="1:12" s="189" customFormat="1" ht="11.25">
      <c r="A22" s="124"/>
      <c r="B22" s="211"/>
      <c r="C22" s="196"/>
      <c r="D22" s="33" t="s">
        <v>183</v>
      </c>
      <c r="E22" s="126"/>
      <c r="F22" s="18"/>
      <c r="G22" s="51"/>
      <c r="H22" s="51"/>
      <c r="I22" s="51"/>
      <c r="J22" s="51"/>
      <c r="K22" s="114"/>
      <c r="L22" s="195"/>
    </row>
    <row r="23" spans="1:12" s="184" customFormat="1" ht="11.25">
      <c r="A23" s="46">
        <v>6</v>
      </c>
      <c r="B23" s="187"/>
      <c r="C23" s="187"/>
      <c r="D23" s="20" t="s">
        <v>72</v>
      </c>
      <c r="E23" s="52"/>
      <c r="F23" s="26"/>
      <c r="G23" s="46"/>
      <c r="H23" s="20"/>
      <c r="I23" s="20"/>
      <c r="J23" s="27">
        <f>J24+J26</f>
        <v>179684.686755</v>
      </c>
      <c r="K23" s="42">
        <f>J23/$J$633</f>
        <v>0.08752459106060953</v>
      </c>
      <c r="L23" s="183"/>
    </row>
    <row r="24" spans="1:12" s="189" customFormat="1" ht="11.25">
      <c r="A24" s="9" t="s">
        <v>73</v>
      </c>
      <c r="B24" s="129"/>
      <c r="C24" s="129"/>
      <c r="D24" s="10" t="s">
        <v>104</v>
      </c>
      <c r="E24" s="191"/>
      <c r="F24" s="192"/>
      <c r="G24" s="193"/>
      <c r="H24" s="194"/>
      <c r="I24" s="194"/>
      <c r="J24" s="194">
        <f>SUM(J25:J25)</f>
        <v>0</v>
      </c>
      <c r="K24" s="43">
        <f>J24/$J$633</f>
        <v>0</v>
      </c>
      <c r="L24" s="195"/>
    </row>
    <row r="25" spans="1:12" s="189" customFormat="1" ht="11.25">
      <c r="A25" s="111"/>
      <c r="B25" s="129"/>
      <c r="C25" s="129"/>
      <c r="D25" s="33" t="s">
        <v>183</v>
      </c>
      <c r="E25" s="225"/>
      <c r="F25" s="132"/>
      <c r="G25" s="110"/>
      <c r="H25" s="110"/>
      <c r="I25" s="110"/>
      <c r="J25" s="110"/>
      <c r="K25" s="114"/>
      <c r="L25" s="195"/>
    </row>
    <row r="26" spans="1:12" s="189" customFormat="1" ht="11.25">
      <c r="A26" s="9" t="s">
        <v>74</v>
      </c>
      <c r="B26" s="129"/>
      <c r="C26" s="129"/>
      <c r="D26" s="10" t="s">
        <v>75</v>
      </c>
      <c r="E26" s="191"/>
      <c r="F26" s="192"/>
      <c r="G26" s="193"/>
      <c r="H26" s="194"/>
      <c r="I26" s="194"/>
      <c r="J26" s="194">
        <f>SUM(J27:J28)</f>
        <v>179684.686755</v>
      </c>
      <c r="K26" s="43">
        <f>J26/$J$633</f>
        <v>0.08752459106060953</v>
      </c>
      <c r="L26" s="195"/>
    </row>
    <row r="27" spans="1:12" s="189" customFormat="1" ht="11.25">
      <c r="A27" s="111" t="s">
        <v>4</v>
      </c>
      <c r="B27" s="196" t="s">
        <v>31</v>
      </c>
      <c r="C27" s="196" t="s">
        <v>144</v>
      </c>
      <c r="D27" s="125" t="s">
        <v>451</v>
      </c>
      <c r="E27" s="122">
        <f>1664.51*10</f>
        <v>16645.1</v>
      </c>
      <c r="F27" s="18" t="s">
        <v>71</v>
      </c>
      <c r="G27" s="51"/>
      <c r="H27" s="51">
        <v>9</v>
      </c>
      <c r="I27" s="51">
        <f>G27+H27</f>
        <v>9</v>
      </c>
      <c r="J27" s="23">
        <f>E27*I27</f>
        <v>149805.9</v>
      </c>
      <c r="K27" s="17">
        <f>J27/$J$633</f>
        <v>0.07297060407737674</v>
      </c>
      <c r="L27" s="195"/>
    </row>
    <row r="28" spans="1:13" s="184" customFormat="1" ht="22.5">
      <c r="A28" s="111" t="s">
        <v>5</v>
      </c>
      <c r="B28" s="35" t="s">
        <v>1215</v>
      </c>
      <c r="C28" s="35"/>
      <c r="D28" s="36" t="s">
        <v>172</v>
      </c>
      <c r="E28" s="122">
        <v>1664.51</v>
      </c>
      <c r="F28" s="172" t="s">
        <v>63</v>
      </c>
      <c r="G28" s="110">
        <f>M28*0.15</f>
        <v>4.4505</v>
      </c>
      <c r="H28" s="110">
        <v>13.5</v>
      </c>
      <c r="I28" s="51">
        <f>G28+H28</f>
        <v>17.950499999999998</v>
      </c>
      <c r="J28" s="23">
        <f>E28*I28</f>
        <v>29878.786754999997</v>
      </c>
      <c r="K28" s="17">
        <f>J28/$J$633</f>
        <v>0.01455398698323279</v>
      </c>
      <c r="L28" s="183"/>
      <c r="M28" s="184">
        <v>29.67</v>
      </c>
    </row>
    <row r="29" spans="1:12" s="184" customFormat="1" ht="11.25">
      <c r="A29" s="46">
        <v>7</v>
      </c>
      <c r="B29" s="187"/>
      <c r="C29" s="187"/>
      <c r="D29" s="20" t="s">
        <v>76</v>
      </c>
      <c r="E29" s="52"/>
      <c r="F29" s="26"/>
      <c r="G29" s="46"/>
      <c r="H29" s="20"/>
      <c r="I29" s="20"/>
      <c r="J29" s="27">
        <f>SUM(J30:J32)</f>
        <v>61828.10599999999</v>
      </c>
      <c r="K29" s="42">
        <f>J29/$J$633</f>
        <v>0.030116532418149624</v>
      </c>
      <c r="L29" s="183"/>
    </row>
    <row r="30" spans="1:13" s="189" customFormat="1" ht="22.5">
      <c r="A30" s="124" t="s">
        <v>112</v>
      </c>
      <c r="B30" s="129" t="s">
        <v>33</v>
      </c>
      <c r="C30" s="196">
        <v>72120</v>
      </c>
      <c r="D30" s="125" t="s">
        <v>359</v>
      </c>
      <c r="E30" s="126">
        <v>112.28</v>
      </c>
      <c r="F30" s="18" t="s">
        <v>207</v>
      </c>
      <c r="G30" s="110">
        <f>M30*0.15</f>
        <v>26.4885</v>
      </c>
      <c r="H30" s="110">
        <f>M30*0.85</f>
        <v>150.1015</v>
      </c>
      <c r="I30" s="51">
        <f>G30+H30</f>
        <v>176.58999999999997</v>
      </c>
      <c r="J30" s="51">
        <f>E30*I30</f>
        <v>19827.525199999996</v>
      </c>
      <c r="K30" s="127">
        <f>J30/$J$633</f>
        <v>0.009658007402935464</v>
      </c>
      <c r="L30" s="195"/>
      <c r="M30" s="189">
        <v>176.59</v>
      </c>
    </row>
    <row r="31" spans="1:13" s="189" customFormat="1" ht="11.25">
      <c r="A31" s="124" t="s">
        <v>11</v>
      </c>
      <c r="B31" s="129" t="s">
        <v>33</v>
      </c>
      <c r="C31" s="111">
        <v>85010</v>
      </c>
      <c r="D31" s="113" t="s">
        <v>360</v>
      </c>
      <c r="E31" s="128">
        <v>112.28</v>
      </c>
      <c r="F31" s="11" t="s">
        <v>207</v>
      </c>
      <c r="G31" s="110">
        <f>M31*0.15</f>
        <v>52.614</v>
      </c>
      <c r="H31" s="110">
        <f>M31*0.85</f>
        <v>298.14599999999996</v>
      </c>
      <c r="I31" s="110">
        <f>G31+H31</f>
        <v>350.75999999999993</v>
      </c>
      <c r="J31" s="128">
        <f>I31*E31</f>
        <v>39383.3328</v>
      </c>
      <c r="K31" s="127">
        <f>J31/$J$633</f>
        <v>0.019183660890501407</v>
      </c>
      <c r="L31" s="195"/>
      <c r="M31" s="189">
        <v>350.76</v>
      </c>
    </row>
    <row r="32" spans="1:13" s="189" customFormat="1" ht="11.25">
      <c r="A32" s="124" t="s">
        <v>12</v>
      </c>
      <c r="B32" s="129" t="s">
        <v>33</v>
      </c>
      <c r="C32" s="111">
        <v>73631</v>
      </c>
      <c r="D32" s="113" t="s">
        <v>361</v>
      </c>
      <c r="E32" s="111">
        <v>9.6</v>
      </c>
      <c r="F32" s="18" t="s">
        <v>207</v>
      </c>
      <c r="G32" s="110">
        <f>M32*0.15</f>
        <v>40.8945</v>
      </c>
      <c r="H32" s="110">
        <f>M32*0.85</f>
        <v>231.7355</v>
      </c>
      <c r="I32" s="110">
        <f>G32+H32</f>
        <v>272.63</v>
      </c>
      <c r="J32" s="128">
        <f>I32*E32</f>
        <v>2617.248</v>
      </c>
      <c r="K32" s="130">
        <f>J32/$J$633</f>
        <v>0.0012748641247127524</v>
      </c>
      <c r="L32" s="195"/>
      <c r="M32" s="189">
        <v>272.63</v>
      </c>
    </row>
    <row r="33" spans="1:12" s="184" customFormat="1" ht="11.25">
      <c r="A33" s="46">
        <v>8</v>
      </c>
      <c r="B33" s="197"/>
      <c r="C33" s="197"/>
      <c r="D33" s="20" t="s">
        <v>80</v>
      </c>
      <c r="E33" s="52"/>
      <c r="F33" s="26"/>
      <c r="G33" s="46"/>
      <c r="H33" s="20"/>
      <c r="I33" s="20"/>
      <c r="J33" s="27">
        <f>SUM(J34:J42)</f>
        <v>50059.1806</v>
      </c>
      <c r="K33" s="42">
        <f aca="true" t="shared" si="0" ref="K33:K42">J33/$J$633</f>
        <v>0.024383877056914974</v>
      </c>
      <c r="L33" s="198"/>
    </row>
    <row r="34" spans="1:13" s="226" customFormat="1" ht="11.25">
      <c r="A34" s="111" t="s">
        <v>91</v>
      </c>
      <c r="B34" s="129" t="s">
        <v>201</v>
      </c>
      <c r="C34" s="129" t="s">
        <v>455</v>
      </c>
      <c r="D34" s="131" t="s">
        <v>362</v>
      </c>
      <c r="E34" s="126">
        <v>3</v>
      </c>
      <c r="F34" s="11" t="s">
        <v>195</v>
      </c>
      <c r="G34" s="110">
        <f>M34*0.15*2</f>
        <v>621.6539999999999</v>
      </c>
      <c r="H34" s="110">
        <f>M34*0.85*2</f>
        <v>3522.7059999999997</v>
      </c>
      <c r="I34" s="51">
        <f aca="true" t="shared" si="1" ref="I34:I39">G34+H34</f>
        <v>4144.36</v>
      </c>
      <c r="J34" s="51">
        <f>E34*I34</f>
        <v>12433.079999999998</v>
      </c>
      <c r="K34" s="114">
        <f t="shared" si="0"/>
        <v>0.006056165732740507</v>
      </c>
      <c r="L34" s="257"/>
      <c r="M34" s="226">
        <v>2072.18</v>
      </c>
    </row>
    <row r="35" spans="1:13" s="226" customFormat="1" ht="22.5">
      <c r="A35" s="111" t="s">
        <v>423</v>
      </c>
      <c r="B35" s="129" t="s">
        <v>30</v>
      </c>
      <c r="C35" s="129" t="s">
        <v>456</v>
      </c>
      <c r="D35" s="131" t="s">
        <v>363</v>
      </c>
      <c r="E35" s="126">
        <v>8</v>
      </c>
      <c r="F35" s="11" t="s">
        <v>195</v>
      </c>
      <c r="G35" s="110">
        <f aca="true" t="shared" si="2" ref="G35:G42">M35*0.15</f>
        <v>65.19449999999999</v>
      </c>
      <c r="H35" s="110">
        <f aca="true" t="shared" si="3" ref="H35:H42">M35*0.85</f>
        <v>369.4355</v>
      </c>
      <c r="I35" s="51">
        <f t="shared" si="1"/>
        <v>434.63</v>
      </c>
      <c r="J35" s="51">
        <f>E35*I35</f>
        <v>3477.04</v>
      </c>
      <c r="K35" s="114">
        <f t="shared" si="0"/>
        <v>0.00169366966989419</v>
      </c>
      <c r="L35" s="229"/>
      <c r="M35" s="226">
        <v>434.63</v>
      </c>
    </row>
    <row r="36" spans="1:13" s="226" customFormat="1" ht="22.5">
      <c r="A36" s="111" t="s">
        <v>424</v>
      </c>
      <c r="B36" s="129" t="s">
        <v>30</v>
      </c>
      <c r="C36" s="129" t="s">
        <v>456</v>
      </c>
      <c r="D36" s="131" t="s">
        <v>364</v>
      </c>
      <c r="E36" s="126">
        <v>3</v>
      </c>
      <c r="F36" s="11" t="s">
        <v>195</v>
      </c>
      <c r="G36" s="110">
        <f t="shared" si="2"/>
        <v>65.19449999999999</v>
      </c>
      <c r="H36" s="110">
        <f t="shared" si="3"/>
        <v>369.4355</v>
      </c>
      <c r="I36" s="51">
        <f t="shared" si="1"/>
        <v>434.63</v>
      </c>
      <c r="J36" s="51">
        <f>E36*I36</f>
        <v>1303.8899999999999</v>
      </c>
      <c r="K36" s="114">
        <f t="shared" si="0"/>
        <v>0.0006351261262103211</v>
      </c>
      <c r="L36" s="229"/>
      <c r="M36" s="226">
        <v>434.63</v>
      </c>
    </row>
    <row r="37" spans="1:13" s="226" customFormat="1" ht="11.25">
      <c r="A37" s="111" t="s">
        <v>425</v>
      </c>
      <c r="B37" s="129" t="s">
        <v>201</v>
      </c>
      <c r="C37" s="129" t="s">
        <v>455</v>
      </c>
      <c r="D37" s="131" t="s">
        <v>365</v>
      </c>
      <c r="E37" s="126">
        <v>9</v>
      </c>
      <c r="F37" s="11" t="s">
        <v>195</v>
      </c>
      <c r="G37" s="110">
        <f>M37*0.15*1.5</f>
        <v>466.2404999999999</v>
      </c>
      <c r="H37" s="110">
        <f>M37*0.85*1.5</f>
        <v>2642.0294999999996</v>
      </c>
      <c r="I37" s="51">
        <f t="shared" si="1"/>
        <v>3108.2699999999995</v>
      </c>
      <c r="J37" s="51">
        <f aca="true" t="shared" si="4" ref="J37:J42">E37*I37</f>
        <v>27974.429999999997</v>
      </c>
      <c r="K37" s="114">
        <f t="shared" si="0"/>
        <v>0.013626372898666141</v>
      </c>
      <c r="L37" s="229"/>
      <c r="M37" s="226">
        <v>2072.18</v>
      </c>
    </row>
    <row r="38" spans="1:13" s="226" customFormat="1" ht="22.5">
      <c r="A38" s="111" t="s">
        <v>426</v>
      </c>
      <c r="B38" s="129" t="s">
        <v>30</v>
      </c>
      <c r="C38" s="129" t="s">
        <v>457</v>
      </c>
      <c r="D38" s="22" t="s">
        <v>368</v>
      </c>
      <c r="E38" s="126">
        <v>1</v>
      </c>
      <c r="F38" s="11" t="s">
        <v>101</v>
      </c>
      <c r="G38" s="110">
        <f t="shared" si="2"/>
        <v>68.1195</v>
      </c>
      <c r="H38" s="110">
        <f t="shared" si="3"/>
        <v>386.0105</v>
      </c>
      <c r="I38" s="51">
        <f t="shared" si="1"/>
        <v>454.13</v>
      </c>
      <c r="J38" s="51">
        <f t="shared" si="4"/>
        <v>454.13</v>
      </c>
      <c r="K38" s="114">
        <f t="shared" si="0"/>
        <v>0.00022120717828642998</v>
      </c>
      <c r="L38" s="229"/>
      <c r="M38" s="226">
        <v>454.13</v>
      </c>
    </row>
    <row r="39" spans="1:13" s="226" customFormat="1" ht="11.25">
      <c r="A39" s="111" t="s">
        <v>427</v>
      </c>
      <c r="B39" s="129" t="s">
        <v>30</v>
      </c>
      <c r="C39" s="129" t="s">
        <v>370</v>
      </c>
      <c r="D39" s="22" t="s">
        <v>369</v>
      </c>
      <c r="E39" s="126">
        <v>1.89</v>
      </c>
      <c r="F39" s="11" t="s">
        <v>63</v>
      </c>
      <c r="G39" s="110">
        <f t="shared" si="2"/>
        <v>64.356</v>
      </c>
      <c r="H39" s="110">
        <f t="shared" si="3"/>
        <v>364.684</v>
      </c>
      <c r="I39" s="51">
        <f t="shared" si="1"/>
        <v>429.04</v>
      </c>
      <c r="J39" s="51">
        <f t="shared" si="4"/>
        <v>810.8856</v>
      </c>
      <c r="K39" s="114">
        <f t="shared" si="0"/>
        <v>0.0003949831887104986</v>
      </c>
      <c r="L39" s="229"/>
      <c r="M39" s="226">
        <v>429.04</v>
      </c>
    </row>
    <row r="40" spans="1:12" s="184" customFormat="1" ht="11.25">
      <c r="A40" s="13"/>
      <c r="B40" s="40"/>
      <c r="C40" s="35"/>
      <c r="D40" s="274" t="s">
        <v>417</v>
      </c>
      <c r="E40" s="16"/>
      <c r="F40" s="15"/>
      <c r="G40" s="110">
        <f t="shared" si="2"/>
        <v>0</v>
      </c>
      <c r="H40" s="110">
        <f t="shared" si="3"/>
        <v>0</v>
      </c>
      <c r="I40" s="51">
        <f>G40+H40</f>
        <v>0</v>
      </c>
      <c r="J40" s="51">
        <f t="shared" si="4"/>
        <v>0</v>
      </c>
      <c r="K40" s="114">
        <f t="shared" si="0"/>
        <v>0</v>
      </c>
      <c r="L40" s="199"/>
    </row>
    <row r="41" spans="1:13" s="184" customFormat="1" ht="22.5">
      <c r="A41" s="13" t="s">
        <v>428</v>
      </c>
      <c r="B41" s="129" t="s">
        <v>30</v>
      </c>
      <c r="C41" s="35" t="s">
        <v>458</v>
      </c>
      <c r="D41" s="36" t="s">
        <v>419</v>
      </c>
      <c r="E41" s="16">
        <v>1</v>
      </c>
      <c r="F41" s="15" t="s">
        <v>421</v>
      </c>
      <c r="G41" s="110">
        <f t="shared" si="2"/>
        <v>49.234500000000004</v>
      </c>
      <c r="H41" s="110">
        <f t="shared" si="3"/>
        <v>278.9955</v>
      </c>
      <c r="I41" s="51">
        <f>G41+H41</f>
        <v>328.23</v>
      </c>
      <c r="J41" s="51">
        <f t="shared" si="4"/>
        <v>328.23</v>
      </c>
      <c r="K41" s="114">
        <f t="shared" si="0"/>
        <v>0.00015988116206582897</v>
      </c>
      <c r="L41" s="199"/>
      <c r="M41" s="184">
        <v>328.23</v>
      </c>
    </row>
    <row r="42" spans="1:13" s="184" customFormat="1" ht="11.25">
      <c r="A42" s="13" t="s">
        <v>429</v>
      </c>
      <c r="B42" s="129" t="s">
        <v>30</v>
      </c>
      <c r="C42" s="35" t="s">
        <v>526</v>
      </c>
      <c r="D42" s="36" t="s">
        <v>420</v>
      </c>
      <c r="E42" s="16">
        <v>6.5</v>
      </c>
      <c r="F42" s="15" t="s">
        <v>422</v>
      </c>
      <c r="G42" s="110">
        <f t="shared" si="2"/>
        <v>75.6345</v>
      </c>
      <c r="H42" s="110">
        <f t="shared" si="3"/>
        <v>428.5955</v>
      </c>
      <c r="I42" s="51">
        <f>G42+H42</f>
        <v>504.23</v>
      </c>
      <c r="J42" s="51">
        <f t="shared" si="4"/>
        <v>3277.495</v>
      </c>
      <c r="K42" s="114">
        <f t="shared" si="0"/>
        <v>0.001596471100341054</v>
      </c>
      <c r="L42" s="199"/>
      <c r="M42" s="184">
        <v>504.23</v>
      </c>
    </row>
    <row r="43" spans="1:11" ht="11.25">
      <c r="A43" s="46">
        <v>9</v>
      </c>
      <c r="B43" s="187"/>
      <c r="C43" s="187"/>
      <c r="D43" s="20" t="s">
        <v>92</v>
      </c>
      <c r="E43" s="52"/>
      <c r="F43" s="26"/>
      <c r="G43" s="46"/>
      <c r="H43" s="20"/>
      <c r="I43" s="20"/>
      <c r="J43" s="27">
        <f>SUM(J44:J44)</f>
        <v>490.176</v>
      </c>
      <c r="K43" s="42">
        <f>J43/$J$633</f>
        <v>0.00023876522102422016</v>
      </c>
    </row>
    <row r="44" spans="1:13" s="184" customFormat="1" ht="11.25">
      <c r="A44" s="111" t="s">
        <v>7</v>
      </c>
      <c r="B44" s="211" t="s">
        <v>30</v>
      </c>
      <c r="C44" s="129" t="s">
        <v>367</v>
      </c>
      <c r="D44" s="22" t="s">
        <v>366</v>
      </c>
      <c r="E44" s="53">
        <v>4.8</v>
      </c>
      <c r="F44" s="11" t="s">
        <v>207</v>
      </c>
      <c r="G44" s="110">
        <f>M44*0.15</f>
        <v>15.318</v>
      </c>
      <c r="H44" s="110">
        <f>M44*0.85</f>
        <v>86.802</v>
      </c>
      <c r="I44" s="23">
        <f>G44+H44</f>
        <v>102.12</v>
      </c>
      <c r="J44" s="23">
        <f>E44*I44</f>
        <v>490.176</v>
      </c>
      <c r="K44" s="17">
        <f>J44/$J$633</f>
        <v>0.00023876522102422016</v>
      </c>
      <c r="L44" s="183"/>
      <c r="M44" s="184">
        <v>102.12</v>
      </c>
    </row>
    <row r="45" spans="1:11" ht="11.25">
      <c r="A45" s="46">
        <v>10</v>
      </c>
      <c r="B45" s="187"/>
      <c r="C45" s="187"/>
      <c r="D45" s="20" t="s">
        <v>199</v>
      </c>
      <c r="E45" s="52"/>
      <c r="F45" s="26"/>
      <c r="G45" s="46"/>
      <c r="H45" s="20"/>
      <c r="I45" s="20"/>
      <c r="J45" s="27">
        <f>SUM(J46:J51)</f>
        <v>137876.07129999998</v>
      </c>
      <c r="K45" s="42">
        <f>J45/$J$633</f>
        <v>0.06715957255739904</v>
      </c>
    </row>
    <row r="46" spans="1:12" s="189" customFormat="1" ht="11.25">
      <c r="A46" s="124" t="s">
        <v>117</v>
      </c>
      <c r="B46" s="211" t="s">
        <v>30</v>
      </c>
      <c r="C46" s="129">
        <v>72231</v>
      </c>
      <c r="D46" s="131" t="s">
        <v>296</v>
      </c>
      <c r="E46" s="122">
        <v>1730.55</v>
      </c>
      <c r="F46" s="11" t="s">
        <v>207</v>
      </c>
      <c r="G46" s="110">
        <v>4.37</v>
      </c>
      <c r="H46" s="110">
        <f>M46*0.85</f>
        <v>0</v>
      </c>
      <c r="I46" s="110">
        <f aca="true" t="shared" si="5" ref="I46:I51">G46+H46</f>
        <v>4.37</v>
      </c>
      <c r="J46" s="110">
        <f aca="true" t="shared" si="6" ref="J46:J51">E46*I46</f>
        <v>7562.5035</v>
      </c>
      <c r="K46" s="114">
        <f>J46/$J$633</f>
        <v>0.003683703036611214</v>
      </c>
      <c r="L46" s="195"/>
    </row>
    <row r="47" spans="1:12" s="189" customFormat="1" ht="11.25">
      <c r="A47" s="124" t="s">
        <v>119</v>
      </c>
      <c r="B47" s="211" t="s">
        <v>1215</v>
      </c>
      <c r="C47" s="129"/>
      <c r="D47" s="131" t="s">
        <v>459</v>
      </c>
      <c r="E47" s="122">
        <v>1730.55</v>
      </c>
      <c r="F47" s="11" t="s">
        <v>63</v>
      </c>
      <c r="G47" s="110">
        <v>7</v>
      </c>
      <c r="H47" s="110"/>
      <c r="I47" s="110">
        <f t="shared" si="5"/>
        <v>7</v>
      </c>
      <c r="J47" s="110">
        <f t="shared" si="6"/>
        <v>12113.85</v>
      </c>
      <c r="K47" s="114">
        <f>J47/$J$633</f>
        <v>0.005900668479697597</v>
      </c>
      <c r="L47" s="195"/>
    </row>
    <row r="48" spans="1:12" s="189" customFormat="1" ht="11.25">
      <c r="A48" s="124" t="s">
        <v>150</v>
      </c>
      <c r="B48" s="211" t="s">
        <v>30</v>
      </c>
      <c r="C48" s="129">
        <v>85414</v>
      </c>
      <c r="D48" s="131" t="s">
        <v>297</v>
      </c>
      <c r="E48" s="122">
        <v>255.24</v>
      </c>
      <c r="F48" s="11" t="s">
        <v>194</v>
      </c>
      <c r="G48" s="110">
        <v>5.57</v>
      </c>
      <c r="H48" s="110">
        <f>M48*0.85</f>
        <v>0</v>
      </c>
      <c r="I48" s="110">
        <f t="shared" si="5"/>
        <v>5.57</v>
      </c>
      <c r="J48" s="110">
        <f t="shared" si="6"/>
        <v>1421.6868000000002</v>
      </c>
      <c r="K48" s="114">
        <f>J48/$J$633</f>
        <v>0.0006925050655870878</v>
      </c>
      <c r="L48" s="195"/>
    </row>
    <row r="49" spans="1:12" s="189" customFormat="1" ht="11.25">
      <c r="A49" s="124" t="s">
        <v>293</v>
      </c>
      <c r="B49" s="211" t="s">
        <v>30</v>
      </c>
      <c r="C49" s="129">
        <v>85382</v>
      </c>
      <c r="D49" s="131" t="s">
        <v>298</v>
      </c>
      <c r="E49" s="122">
        <v>220.22</v>
      </c>
      <c r="F49" s="11" t="s">
        <v>207</v>
      </c>
      <c r="G49" s="110">
        <v>15.62</v>
      </c>
      <c r="H49" s="110">
        <f>M49*0.85</f>
        <v>0</v>
      </c>
      <c r="I49" s="110">
        <f t="shared" si="5"/>
        <v>15.62</v>
      </c>
      <c r="J49" s="110">
        <f t="shared" si="6"/>
        <v>3439.8363999999997</v>
      </c>
      <c r="K49" s="114">
        <f>J49/$J$633</f>
        <v>0.0016755477590358519</v>
      </c>
      <c r="L49" s="195"/>
    </row>
    <row r="50" spans="1:12" s="189" customFormat="1" ht="22.5">
      <c r="A50" s="124" t="s">
        <v>294</v>
      </c>
      <c r="B50" s="211" t="s">
        <v>46</v>
      </c>
      <c r="C50" s="129"/>
      <c r="D50" s="131" t="s">
        <v>299</v>
      </c>
      <c r="E50" s="122">
        <v>1730.55</v>
      </c>
      <c r="F50" s="11" t="s">
        <v>207</v>
      </c>
      <c r="G50" s="110">
        <v>7.5</v>
      </c>
      <c r="H50" s="110">
        <v>55</v>
      </c>
      <c r="I50" s="110">
        <f t="shared" si="5"/>
        <v>62.5</v>
      </c>
      <c r="J50" s="110">
        <f t="shared" si="6"/>
        <v>108159.375</v>
      </c>
      <c r="K50" s="114">
        <f>J50/$J$633</f>
        <v>0.052684539997299974</v>
      </c>
      <c r="L50" s="195"/>
    </row>
    <row r="51" spans="1:13" s="189" customFormat="1" ht="11.25">
      <c r="A51" s="124" t="s">
        <v>295</v>
      </c>
      <c r="B51" s="211" t="s">
        <v>30</v>
      </c>
      <c r="C51" s="129" t="s">
        <v>1197</v>
      </c>
      <c r="D51" s="131" t="s">
        <v>300</v>
      </c>
      <c r="E51" s="122">
        <v>255.24</v>
      </c>
      <c r="F51" s="11" t="s">
        <v>194</v>
      </c>
      <c r="G51" s="110">
        <f>M51*0.15</f>
        <v>3.0435</v>
      </c>
      <c r="H51" s="110">
        <f>M51*0.85</f>
        <v>17.246499999999997</v>
      </c>
      <c r="I51" s="110">
        <f t="shared" si="5"/>
        <v>20.29</v>
      </c>
      <c r="J51" s="110">
        <f t="shared" si="6"/>
        <v>5178.8196</v>
      </c>
      <c r="K51" s="114">
        <f>J51/$J$633</f>
        <v>0.002522608219167326</v>
      </c>
      <c r="L51" s="195"/>
      <c r="M51" s="189">
        <v>20.29</v>
      </c>
    </row>
    <row r="52" spans="1:11" ht="11.25">
      <c r="A52" s="46">
        <v>11</v>
      </c>
      <c r="B52" s="187"/>
      <c r="C52" s="187"/>
      <c r="D52" s="20" t="s">
        <v>94</v>
      </c>
      <c r="E52" s="46"/>
      <c r="F52" s="26"/>
      <c r="G52" s="46"/>
      <c r="H52" s="20"/>
      <c r="I52" s="20"/>
      <c r="J52" s="27">
        <f>SUM(J53:J53)</f>
        <v>7987.379400000001</v>
      </c>
      <c r="K52" s="42">
        <f>J52/$J$633</f>
        <v>0.00389066051345905</v>
      </c>
    </row>
    <row r="53" spans="1:13" s="226" customFormat="1" ht="22.5">
      <c r="A53" s="111" t="s">
        <v>120</v>
      </c>
      <c r="B53" s="129" t="s">
        <v>30</v>
      </c>
      <c r="C53" s="196" t="s">
        <v>302</v>
      </c>
      <c r="D53" s="131" t="s">
        <v>301</v>
      </c>
      <c r="E53" s="126">
        <v>220.22</v>
      </c>
      <c r="F53" s="18" t="s">
        <v>207</v>
      </c>
      <c r="G53" s="110">
        <f>M53*0.15</f>
        <v>5.4405</v>
      </c>
      <c r="H53" s="110">
        <f>M53*0.85</f>
        <v>30.829500000000003</v>
      </c>
      <c r="I53" s="51">
        <f>G53+H53</f>
        <v>36.27</v>
      </c>
      <c r="J53" s="51">
        <f>I53*E53</f>
        <v>7987.379400000001</v>
      </c>
      <c r="K53" s="114">
        <f>J53/$J$633</f>
        <v>0.00389066051345905</v>
      </c>
      <c r="L53" s="195"/>
      <c r="M53" s="226">
        <v>36.27</v>
      </c>
    </row>
    <row r="54" spans="1:11" ht="11.25">
      <c r="A54" s="46">
        <v>12</v>
      </c>
      <c r="B54" s="187"/>
      <c r="C54" s="187"/>
      <c r="D54" s="20" t="s">
        <v>95</v>
      </c>
      <c r="E54" s="46"/>
      <c r="F54" s="26"/>
      <c r="G54" s="46"/>
      <c r="H54" s="20"/>
      <c r="I54" s="20"/>
      <c r="J54" s="27">
        <f>SUM(J55:J57)</f>
        <v>33057.8082</v>
      </c>
      <c r="K54" s="42">
        <f>J54/$J$633</f>
        <v>0.01610249151620903</v>
      </c>
    </row>
    <row r="55" spans="1:13" s="189" customFormat="1" ht="22.5">
      <c r="A55" s="111" t="s">
        <v>121</v>
      </c>
      <c r="B55" s="196" t="s">
        <v>30</v>
      </c>
      <c r="C55" s="129">
        <v>87412</v>
      </c>
      <c r="D55" s="14" t="s">
        <v>373</v>
      </c>
      <c r="E55" s="122">
        <v>150</v>
      </c>
      <c r="F55" s="15" t="s">
        <v>207</v>
      </c>
      <c r="G55" s="110">
        <f>M55*0.15</f>
        <v>2.0325</v>
      </c>
      <c r="H55" s="110">
        <f>M55*0.85</f>
        <v>11.5175</v>
      </c>
      <c r="I55" s="110">
        <f>G55+H55</f>
        <v>13.55</v>
      </c>
      <c r="J55" s="110">
        <f>E55*I55</f>
        <v>2032.5</v>
      </c>
      <c r="K55" s="114">
        <f>J55/$J$633</f>
        <v>0.0009900327876757073</v>
      </c>
      <c r="L55" s="230"/>
      <c r="M55" s="189">
        <v>13.55</v>
      </c>
    </row>
    <row r="56" spans="1:13" s="184" customFormat="1" ht="11.25">
      <c r="A56" s="111" t="s">
        <v>111</v>
      </c>
      <c r="B56" s="188" t="s">
        <v>30</v>
      </c>
      <c r="C56" s="35">
        <v>88482</v>
      </c>
      <c r="D56" s="14" t="s">
        <v>374</v>
      </c>
      <c r="E56" s="12">
        <v>150</v>
      </c>
      <c r="F56" s="15" t="s">
        <v>207</v>
      </c>
      <c r="G56" s="110">
        <f>M56*0.15</f>
        <v>0.348</v>
      </c>
      <c r="H56" s="110">
        <f>M56*0.85</f>
        <v>1.9719999999999998</v>
      </c>
      <c r="I56" s="110">
        <f>G56+H56</f>
        <v>2.32</v>
      </c>
      <c r="J56" s="110">
        <f>E56*I56</f>
        <v>348</v>
      </c>
      <c r="K56" s="114">
        <f>J56/$J$633</f>
        <v>0.00016951114888617274</v>
      </c>
      <c r="L56" s="183"/>
      <c r="M56" s="184">
        <v>2.32</v>
      </c>
    </row>
    <row r="57" spans="1:13" s="184" customFormat="1" ht="22.5">
      <c r="A57" s="111" t="s">
        <v>122</v>
      </c>
      <c r="B57" s="40" t="s">
        <v>30</v>
      </c>
      <c r="C57" s="35">
        <v>88486</v>
      </c>
      <c r="D57" s="14" t="s">
        <v>375</v>
      </c>
      <c r="E57" s="16">
        <v>3443.02</v>
      </c>
      <c r="F57" s="15" t="s">
        <v>207</v>
      </c>
      <c r="G57" s="110">
        <f>M57*0.15</f>
        <v>1.3365</v>
      </c>
      <c r="H57" s="110">
        <f>M57*0.85</f>
        <v>7.5735</v>
      </c>
      <c r="I57" s="110">
        <f>G57+H57</f>
        <v>8.91</v>
      </c>
      <c r="J57" s="110">
        <f>E57*I57</f>
        <v>30677.3082</v>
      </c>
      <c r="K57" s="114">
        <f>J57/$J$633</f>
        <v>0.01494294757964715</v>
      </c>
      <c r="L57" s="199"/>
      <c r="M57" s="184">
        <v>8.91</v>
      </c>
    </row>
    <row r="58" spans="1:12" ht="11.25">
      <c r="A58" s="46">
        <v>13</v>
      </c>
      <c r="B58" s="187"/>
      <c r="C58" s="187"/>
      <c r="D58" s="20" t="s">
        <v>96</v>
      </c>
      <c r="E58" s="46"/>
      <c r="F58" s="26"/>
      <c r="G58" s="46"/>
      <c r="H58" s="20"/>
      <c r="I58" s="20"/>
      <c r="J58" s="27">
        <f>SUM(J59:J60)</f>
        <v>507.11039999999997</v>
      </c>
      <c r="K58" s="42">
        <f>J58/$J$633</f>
        <v>0.00024701398424174315</v>
      </c>
      <c r="L58" s="200"/>
    </row>
    <row r="59" spans="1:12" s="184" customFormat="1" ht="11.25">
      <c r="A59" s="13"/>
      <c r="B59" s="40"/>
      <c r="C59" s="35"/>
      <c r="D59" s="273" t="s">
        <v>417</v>
      </c>
      <c r="E59" s="16"/>
      <c r="F59" s="15"/>
      <c r="G59" s="110"/>
      <c r="H59" s="110"/>
      <c r="I59" s="16"/>
      <c r="J59" s="16"/>
      <c r="K59" s="17"/>
      <c r="L59" s="199"/>
    </row>
    <row r="60" spans="1:13" s="184" customFormat="1" ht="33.75">
      <c r="A60" s="13" t="s">
        <v>1216</v>
      </c>
      <c r="B60" s="40" t="s">
        <v>33</v>
      </c>
      <c r="C60" s="35">
        <v>87271</v>
      </c>
      <c r="D60" s="14" t="s">
        <v>418</v>
      </c>
      <c r="E60" s="16">
        <v>11.36</v>
      </c>
      <c r="F60" s="15" t="s">
        <v>63</v>
      </c>
      <c r="G60" s="110">
        <f>M60*0.15</f>
        <v>6.696</v>
      </c>
      <c r="H60" s="110">
        <f>M60*0.85</f>
        <v>37.944</v>
      </c>
      <c r="I60" s="16">
        <f>G60+H60</f>
        <v>44.64</v>
      </c>
      <c r="J60" s="16">
        <f>E60*I60</f>
        <v>507.11039999999997</v>
      </c>
      <c r="K60" s="17">
        <f>J60/$J$633</f>
        <v>0.00024701398424174315</v>
      </c>
      <c r="L60" s="183"/>
      <c r="M60" s="184">
        <v>44.64</v>
      </c>
    </row>
    <row r="61" spans="1:11" ht="11.25">
      <c r="A61" s="46">
        <v>14</v>
      </c>
      <c r="B61" s="187"/>
      <c r="C61" s="187"/>
      <c r="D61" s="20" t="s">
        <v>99</v>
      </c>
      <c r="E61" s="46"/>
      <c r="F61" s="26"/>
      <c r="G61" s="46"/>
      <c r="H61" s="20"/>
      <c r="I61" s="21"/>
      <c r="J61" s="27">
        <f>SUM(J62:J64)</f>
        <v>4877.35555</v>
      </c>
      <c r="K61" s="42">
        <f>J61/$J$633</f>
        <v>0.0023757647781806066</v>
      </c>
    </row>
    <row r="62" spans="1:13" s="184" customFormat="1" ht="22.5">
      <c r="A62" s="13" t="s">
        <v>510</v>
      </c>
      <c r="B62" s="40" t="s">
        <v>33</v>
      </c>
      <c r="C62" s="35">
        <v>87246</v>
      </c>
      <c r="D62" s="37" t="s">
        <v>515</v>
      </c>
      <c r="E62" s="201">
        <v>3.145</v>
      </c>
      <c r="F62" s="15" t="s">
        <v>63</v>
      </c>
      <c r="G62" s="110">
        <f>M62*0.15</f>
        <v>5.2124999999999995</v>
      </c>
      <c r="H62" s="110">
        <f>M62*0.85</f>
        <v>29.537499999999998</v>
      </c>
      <c r="I62" s="16">
        <f>G62+H62</f>
        <v>34.75</v>
      </c>
      <c r="J62" s="16">
        <f>E62*I62</f>
        <v>109.28875000000001</v>
      </c>
      <c r="K62" s="17">
        <f>J62/$J$633</f>
        <v>5.3234659692050904E-05</v>
      </c>
      <c r="L62" s="183"/>
      <c r="M62" s="184">
        <v>34.75</v>
      </c>
    </row>
    <row r="63" spans="1:12" s="189" customFormat="1" ht="11.25">
      <c r="A63" s="111" t="s">
        <v>512</v>
      </c>
      <c r="B63" s="129" t="s">
        <v>31</v>
      </c>
      <c r="C63" s="129" t="s">
        <v>509</v>
      </c>
      <c r="D63" s="231" t="s">
        <v>505</v>
      </c>
      <c r="E63" s="111">
        <v>120.68</v>
      </c>
      <c r="F63" s="11" t="s">
        <v>63</v>
      </c>
      <c r="G63" s="110">
        <v>7.49</v>
      </c>
      <c r="H63" s="128"/>
      <c r="I63" s="110">
        <f>G63+H63</f>
        <v>7.49</v>
      </c>
      <c r="J63" s="110">
        <f>E63*I63</f>
        <v>903.8932000000001</v>
      </c>
      <c r="K63" s="114">
        <f>J63/$J$633</f>
        <v>0.00044028728391494004</v>
      </c>
      <c r="L63" s="195"/>
    </row>
    <row r="64" spans="1:13" s="189" customFormat="1" ht="11.25">
      <c r="A64" s="111" t="s">
        <v>514</v>
      </c>
      <c r="B64" s="129" t="s">
        <v>30</v>
      </c>
      <c r="C64" s="129" t="s">
        <v>511</v>
      </c>
      <c r="D64" s="231" t="s">
        <v>506</v>
      </c>
      <c r="E64" s="111">
        <v>120.68</v>
      </c>
      <c r="F64" s="11" t="s">
        <v>63</v>
      </c>
      <c r="G64" s="110">
        <f>M64*0.15</f>
        <v>4.803</v>
      </c>
      <c r="H64" s="110">
        <f>M64*0.85</f>
        <v>27.217000000000002</v>
      </c>
      <c r="I64" s="110">
        <f>G64+H64</f>
        <v>32.02</v>
      </c>
      <c r="J64" s="110">
        <f>E64*I64</f>
        <v>3864.1736000000005</v>
      </c>
      <c r="K64" s="114">
        <f>J64/$J$633</f>
        <v>0.0018822428345736156</v>
      </c>
      <c r="L64" s="195"/>
      <c r="M64" s="189">
        <v>32.02</v>
      </c>
    </row>
    <row r="65" spans="1:11" ht="11.25">
      <c r="A65" s="46">
        <v>15</v>
      </c>
      <c r="B65" s="187"/>
      <c r="C65" s="187"/>
      <c r="D65" s="31" t="s">
        <v>84</v>
      </c>
      <c r="E65" s="46"/>
      <c r="F65" s="26"/>
      <c r="G65" s="46"/>
      <c r="H65" s="20"/>
      <c r="I65" s="21"/>
      <c r="J65" s="27">
        <f>J66+J111+J124+J145</f>
        <v>41283.75912999999</v>
      </c>
      <c r="K65" s="42">
        <f aca="true" t="shared" si="7" ref="K65:K107">J65/$J$633</f>
        <v>0.020109360461110122</v>
      </c>
    </row>
    <row r="66" spans="1:12" s="184" customFormat="1" ht="11.25">
      <c r="A66" s="32" t="s">
        <v>97</v>
      </c>
      <c r="B66" s="268"/>
      <c r="C66" s="35"/>
      <c r="D66" s="29" t="s">
        <v>303</v>
      </c>
      <c r="E66" s="255"/>
      <c r="F66" s="39"/>
      <c r="G66" s="264"/>
      <c r="H66" s="10"/>
      <c r="I66" s="29"/>
      <c r="J66" s="30">
        <f>SUM(J67:J110)</f>
        <v>23901.32063</v>
      </c>
      <c r="K66" s="43">
        <f t="shared" si="7"/>
        <v>0.011642357241057708</v>
      </c>
      <c r="L66" s="183"/>
    </row>
    <row r="67" spans="1:12" s="184" customFormat="1" ht="11.25">
      <c r="A67" s="13" t="s">
        <v>237</v>
      </c>
      <c r="B67" s="268" t="s">
        <v>31</v>
      </c>
      <c r="C67" s="35" t="s">
        <v>460</v>
      </c>
      <c r="D67" s="190" t="s">
        <v>304</v>
      </c>
      <c r="E67" s="122">
        <v>2</v>
      </c>
      <c r="F67" s="25" t="s">
        <v>195</v>
      </c>
      <c r="G67" s="266">
        <v>42.29</v>
      </c>
      <c r="H67" s="266">
        <v>62.63</v>
      </c>
      <c r="I67" s="110">
        <f>SUM(G67:H67)</f>
        <v>104.92</v>
      </c>
      <c r="J67" s="110">
        <f>I67*E67</f>
        <v>209.84</v>
      </c>
      <c r="K67" s="265">
        <f t="shared" si="7"/>
        <v>0.00010221327437435198</v>
      </c>
      <c r="L67" s="183"/>
    </row>
    <row r="68" spans="1:12" s="184" customFormat="1" ht="11.25">
      <c r="A68" s="13" t="s">
        <v>238</v>
      </c>
      <c r="B68" s="228" t="s">
        <v>46</v>
      </c>
      <c r="C68" s="129"/>
      <c r="D68" s="227" t="s">
        <v>524</v>
      </c>
      <c r="E68" s="122">
        <v>2</v>
      </c>
      <c r="F68" s="11" t="s">
        <v>195</v>
      </c>
      <c r="G68" s="267">
        <f>H68*0.1765</f>
        <v>682.774365</v>
      </c>
      <c r="H68" s="267">
        <v>3868.41</v>
      </c>
      <c r="I68" s="110">
        <f aca="true" t="shared" si="8" ref="I68:I101">SUM(G68:H68)</f>
        <v>4551.184365</v>
      </c>
      <c r="J68" s="110">
        <f aca="true" t="shared" si="9" ref="J68:J101">I68*E68</f>
        <v>9102.36873</v>
      </c>
      <c r="K68" s="265">
        <f t="shared" si="7"/>
        <v>0.0044337729339306705</v>
      </c>
      <c r="L68" s="183"/>
    </row>
    <row r="69" spans="1:12" s="184" customFormat="1" ht="11.25">
      <c r="A69" s="13" t="s">
        <v>239</v>
      </c>
      <c r="B69" s="268" t="s">
        <v>31</v>
      </c>
      <c r="C69" s="35" t="s">
        <v>1194</v>
      </c>
      <c r="D69" s="190" t="s">
        <v>305</v>
      </c>
      <c r="E69" s="122">
        <v>7</v>
      </c>
      <c r="F69" s="25" t="s">
        <v>195</v>
      </c>
      <c r="G69" s="266">
        <v>14.1</v>
      </c>
      <c r="H69" s="266">
        <v>26.7</v>
      </c>
      <c r="I69" s="110">
        <f t="shared" si="8"/>
        <v>40.8</v>
      </c>
      <c r="J69" s="110">
        <f t="shared" si="9"/>
        <v>285.59999999999997</v>
      </c>
      <c r="K69" s="265">
        <f t="shared" si="7"/>
        <v>0.0001391160463272728</v>
      </c>
      <c r="L69" s="183"/>
    </row>
    <row r="70" spans="1:12" s="184" customFormat="1" ht="11.25">
      <c r="A70" s="13" t="s">
        <v>240</v>
      </c>
      <c r="B70" s="268" t="s">
        <v>31</v>
      </c>
      <c r="C70" s="35" t="s">
        <v>461</v>
      </c>
      <c r="D70" s="36" t="s">
        <v>306</v>
      </c>
      <c r="E70" s="122">
        <v>2</v>
      </c>
      <c r="F70" s="15" t="s">
        <v>195</v>
      </c>
      <c r="G70" s="267">
        <v>5.36</v>
      </c>
      <c r="H70" s="267">
        <v>78.5</v>
      </c>
      <c r="I70" s="110">
        <f t="shared" si="8"/>
        <v>83.86</v>
      </c>
      <c r="J70" s="110">
        <f t="shared" si="9"/>
        <v>167.72</v>
      </c>
      <c r="K70" s="265">
        <f t="shared" si="7"/>
        <v>8.169658014709452E-05</v>
      </c>
      <c r="L70" s="183"/>
    </row>
    <row r="71" spans="1:13" s="184" customFormat="1" ht="11.25">
      <c r="A71" s="13" t="s">
        <v>241</v>
      </c>
      <c r="B71" s="268" t="s">
        <v>30</v>
      </c>
      <c r="C71" s="35" t="s">
        <v>466</v>
      </c>
      <c r="D71" s="190" t="s">
        <v>307</v>
      </c>
      <c r="E71" s="122">
        <v>2</v>
      </c>
      <c r="F71" s="25" t="s">
        <v>195</v>
      </c>
      <c r="G71" s="110">
        <f>M71*0.15</f>
        <v>18.243</v>
      </c>
      <c r="H71" s="110">
        <f>M71*0.85</f>
        <v>103.377</v>
      </c>
      <c r="I71" s="110">
        <f t="shared" si="8"/>
        <v>121.61999999999999</v>
      </c>
      <c r="J71" s="110">
        <f t="shared" si="9"/>
        <v>243.23999999999998</v>
      </c>
      <c r="K71" s="265">
        <f t="shared" si="7"/>
        <v>0.00011848244785940418</v>
      </c>
      <c r="L71" s="183"/>
      <c r="M71" s="184">
        <v>121.62</v>
      </c>
    </row>
    <row r="72" spans="1:13" s="184" customFormat="1" ht="11.25">
      <c r="A72" s="13" t="s">
        <v>242</v>
      </c>
      <c r="B72" s="268" t="s">
        <v>30</v>
      </c>
      <c r="C72" s="35" t="s">
        <v>464</v>
      </c>
      <c r="D72" s="36" t="s">
        <v>308</v>
      </c>
      <c r="E72" s="122">
        <v>2</v>
      </c>
      <c r="F72" s="15" t="s">
        <v>195</v>
      </c>
      <c r="G72" s="110">
        <f>M72*0.15</f>
        <v>9.7335</v>
      </c>
      <c r="H72" s="110">
        <f>M72*0.85</f>
        <v>55.1565</v>
      </c>
      <c r="I72" s="110">
        <f t="shared" si="8"/>
        <v>64.89</v>
      </c>
      <c r="J72" s="110">
        <f t="shared" si="9"/>
        <v>129.78</v>
      </c>
      <c r="K72" s="265">
        <f t="shared" si="7"/>
        <v>6.321596811048132E-05</v>
      </c>
      <c r="L72" s="183"/>
      <c r="M72" s="184">
        <v>64.89</v>
      </c>
    </row>
    <row r="73" spans="1:13" s="184" customFormat="1" ht="11.25">
      <c r="A73" s="13" t="s">
        <v>243</v>
      </c>
      <c r="B73" s="268" t="s">
        <v>30</v>
      </c>
      <c r="C73" s="35" t="s">
        <v>465</v>
      </c>
      <c r="D73" s="190" t="s">
        <v>309</v>
      </c>
      <c r="E73" s="122">
        <v>2</v>
      </c>
      <c r="F73" s="25" t="s">
        <v>195</v>
      </c>
      <c r="G73" s="110">
        <f>M73*0.15</f>
        <v>4.944</v>
      </c>
      <c r="H73" s="110">
        <f>M73*0.85</f>
        <v>28.016</v>
      </c>
      <c r="I73" s="110">
        <f t="shared" si="8"/>
        <v>32.96</v>
      </c>
      <c r="J73" s="110">
        <f t="shared" si="9"/>
        <v>65.92</v>
      </c>
      <c r="K73" s="265">
        <f t="shared" si="7"/>
        <v>3.210969808786353E-05</v>
      </c>
      <c r="L73" s="183"/>
      <c r="M73" s="184">
        <v>32.96</v>
      </c>
    </row>
    <row r="74" spans="1:13" s="184" customFormat="1" ht="11.25">
      <c r="A74" s="13" t="s">
        <v>244</v>
      </c>
      <c r="B74" s="268" t="s">
        <v>30</v>
      </c>
      <c r="C74" s="35" t="s">
        <v>196</v>
      </c>
      <c r="D74" s="36" t="s">
        <v>310</v>
      </c>
      <c r="E74" s="122">
        <v>2</v>
      </c>
      <c r="F74" s="15" t="s">
        <v>195</v>
      </c>
      <c r="G74" s="110">
        <f>M74*0.15</f>
        <v>27.380999999999997</v>
      </c>
      <c r="H74" s="110">
        <f>M74*0.85</f>
        <v>155.159</v>
      </c>
      <c r="I74" s="110">
        <f t="shared" si="8"/>
        <v>182.54</v>
      </c>
      <c r="J74" s="110">
        <f t="shared" si="9"/>
        <v>365.08</v>
      </c>
      <c r="K74" s="265">
        <f t="shared" si="7"/>
        <v>0.0001778308340096665</v>
      </c>
      <c r="L74" s="183"/>
      <c r="M74" s="184">
        <v>182.54</v>
      </c>
    </row>
    <row r="75" spans="1:13" s="184" customFormat="1" ht="11.25">
      <c r="A75" s="13" t="s">
        <v>245</v>
      </c>
      <c r="B75" s="268" t="s">
        <v>30</v>
      </c>
      <c r="C75" s="35" t="s">
        <v>467</v>
      </c>
      <c r="D75" s="190" t="s">
        <v>311</v>
      </c>
      <c r="E75" s="122">
        <v>2</v>
      </c>
      <c r="F75" s="25" t="s">
        <v>195</v>
      </c>
      <c r="G75" s="110">
        <f>M75*0.15</f>
        <v>14.304</v>
      </c>
      <c r="H75" s="110">
        <f>M75*0.85</f>
        <v>81.056</v>
      </c>
      <c r="I75" s="110">
        <f t="shared" si="8"/>
        <v>95.36</v>
      </c>
      <c r="J75" s="110">
        <f t="shared" si="9"/>
        <v>190.72</v>
      </c>
      <c r="K75" s="265">
        <f t="shared" si="7"/>
        <v>9.289990320566341E-05</v>
      </c>
      <c r="L75" s="183"/>
      <c r="M75" s="184">
        <v>95.36</v>
      </c>
    </row>
    <row r="76" spans="1:12" s="184" customFormat="1" ht="11.25">
      <c r="A76" s="13" t="s">
        <v>246</v>
      </c>
      <c r="B76" s="268" t="s">
        <v>46</v>
      </c>
      <c r="C76" s="35"/>
      <c r="D76" s="36" t="s">
        <v>312</v>
      </c>
      <c r="E76" s="122">
        <v>3</v>
      </c>
      <c r="F76" s="15" t="s">
        <v>195</v>
      </c>
      <c r="G76" s="266">
        <f>94.41*0.15</f>
        <v>14.161499999999998</v>
      </c>
      <c r="H76" s="266">
        <f>94.41*0.85</f>
        <v>80.24849999999999</v>
      </c>
      <c r="I76" s="110">
        <f t="shared" si="8"/>
        <v>94.41</v>
      </c>
      <c r="J76" s="110">
        <f t="shared" si="9"/>
        <v>283.23</v>
      </c>
      <c r="K76" s="265">
        <f t="shared" si="7"/>
        <v>0.00013796161695123769</v>
      </c>
      <c r="L76" s="183"/>
    </row>
    <row r="77" spans="1:13" s="184" customFormat="1" ht="11.25">
      <c r="A77" s="13" t="s">
        <v>247</v>
      </c>
      <c r="B77" s="268" t="s">
        <v>30</v>
      </c>
      <c r="C77" s="35" t="s">
        <v>1198</v>
      </c>
      <c r="D77" s="36" t="s">
        <v>313</v>
      </c>
      <c r="E77" s="122">
        <v>7</v>
      </c>
      <c r="F77" s="15" t="s">
        <v>195</v>
      </c>
      <c r="G77" s="110">
        <f>M77*0.15</f>
        <v>31.554000000000002</v>
      </c>
      <c r="H77" s="110">
        <f>M77*0.85</f>
        <v>178.806</v>
      </c>
      <c r="I77" s="110">
        <f t="shared" si="8"/>
        <v>210.36</v>
      </c>
      <c r="J77" s="110">
        <f t="shared" si="9"/>
        <v>1472.52</v>
      </c>
      <c r="K77" s="265">
        <f t="shared" si="7"/>
        <v>0.0007172659682697331</v>
      </c>
      <c r="L77" s="183"/>
      <c r="M77" s="184">
        <v>210.36</v>
      </c>
    </row>
    <row r="78" spans="1:13" s="184" customFormat="1" ht="11.25">
      <c r="A78" s="13" t="s">
        <v>248</v>
      </c>
      <c r="B78" s="268" t="s">
        <v>30</v>
      </c>
      <c r="C78" s="35" t="s">
        <v>468</v>
      </c>
      <c r="D78" s="36" t="s">
        <v>314</v>
      </c>
      <c r="E78" s="122">
        <v>4</v>
      </c>
      <c r="F78" s="15" t="s">
        <v>195</v>
      </c>
      <c r="G78" s="110">
        <f>M78*0.15</f>
        <v>2.028</v>
      </c>
      <c r="H78" s="110">
        <f>M78*0.85</f>
        <v>11.491999999999999</v>
      </c>
      <c r="I78" s="110">
        <f t="shared" si="8"/>
        <v>13.52</v>
      </c>
      <c r="J78" s="110">
        <f t="shared" si="9"/>
        <v>54.08</v>
      </c>
      <c r="K78" s="265">
        <f t="shared" si="7"/>
        <v>2.6342422217713282E-05</v>
      </c>
      <c r="L78" s="183"/>
      <c r="M78" s="184">
        <v>13.52</v>
      </c>
    </row>
    <row r="79" spans="1:13" s="184" customFormat="1" ht="11.25">
      <c r="A79" s="13" t="s">
        <v>249</v>
      </c>
      <c r="B79" s="268" t="s">
        <v>30</v>
      </c>
      <c r="C79" s="35" t="s">
        <v>469</v>
      </c>
      <c r="D79" s="36" t="s">
        <v>315</v>
      </c>
      <c r="E79" s="122">
        <v>1</v>
      </c>
      <c r="F79" s="15" t="s">
        <v>195</v>
      </c>
      <c r="G79" s="110">
        <f>M79*0.15</f>
        <v>3.9855</v>
      </c>
      <c r="H79" s="110">
        <f>M79*0.85</f>
        <v>22.5845</v>
      </c>
      <c r="I79" s="110">
        <f t="shared" si="8"/>
        <v>26.57</v>
      </c>
      <c r="J79" s="110">
        <f t="shared" si="9"/>
        <v>26.57</v>
      </c>
      <c r="K79" s="265">
        <f t="shared" si="7"/>
        <v>1.2942273637659799E-05</v>
      </c>
      <c r="L79" s="183"/>
      <c r="M79" s="184">
        <v>26.57</v>
      </c>
    </row>
    <row r="80" spans="1:12" s="184" customFormat="1" ht="11.25">
      <c r="A80" s="13" t="s">
        <v>250</v>
      </c>
      <c r="B80" s="268" t="s">
        <v>46</v>
      </c>
      <c r="C80" s="35"/>
      <c r="D80" s="36" t="s">
        <v>316</v>
      </c>
      <c r="E80" s="122">
        <v>1</v>
      </c>
      <c r="F80" s="15" t="s">
        <v>195</v>
      </c>
      <c r="G80" s="266">
        <f>94.41*0.15</f>
        <v>14.161499999999998</v>
      </c>
      <c r="H80" s="266">
        <f>94.41*0.85</f>
        <v>80.24849999999999</v>
      </c>
      <c r="I80" s="110">
        <f t="shared" si="8"/>
        <v>94.41</v>
      </c>
      <c r="J80" s="110">
        <f t="shared" si="9"/>
        <v>94.41</v>
      </c>
      <c r="K80" s="265">
        <f t="shared" si="7"/>
        <v>4.598720565041256E-05</v>
      </c>
      <c r="L80" s="183"/>
    </row>
    <row r="81" spans="1:12" s="184" customFormat="1" ht="11.25">
      <c r="A81" s="13" t="s">
        <v>251</v>
      </c>
      <c r="B81" s="268" t="s">
        <v>46</v>
      </c>
      <c r="C81" s="35"/>
      <c r="D81" s="36" t="s">
        <v>317</v>
      </c>
      <c r="E81" s="122">
        <v>1</v>
      </c>
      <c r="F81" s="15" t="s">
        <v>195</v>
      </c>
      <c r="G81" s="266">
        <f>94.41*0.15</f>
        <v>14.161499999999998</v>
      </c>
      <c r="H81" s="266">
        <f>94.41*0.85</f>
        <v>80.24849999999999</v>
      </c>
      <c r="I81" s="110">
        <f t="shared" si="8"/>
        <v>94.41</v>
      </c>
      <c r="J81" s="110">
        <f t="shared" si="9"/>
        <v>94.41</v>
      </c>
      <c r="K81" s="265">
        <f t="shared" si="7"/>
        <v>4.598720565041256E-05</v>
      </c>
      <c r="L81" s="183"/>
    </row>
    <row r="82" spans="1:13" s="184" customFormat="1" ht="11.25">
      <c r="A82" s="13" t="s">
        <v>252</v>
      </c>
      <c r="B82" s="268" t="s">
        <v>30</v>
      </c>
      <c r="C82" s="35" t="s">
        <v>470</v>
      </c>
      <c r="D82" s="36" t="s">
        <v>318</v>
      </c>
      <c r="E82" s="122">
        <v>1</v>
      </c>
      <c r="F82" s="15" t="s">
        <v>195</v>
      </c>
      <c r="G82" s="110">
        <f>M82*0.15</f>
        <v>2.2155</v>
      </c>
      <c r="H82" s="110">
        <f>M82*0.85</f>
        <v>12.554499999999999</v>
      </c>
      <c r="I82" s="110">
        <f t="shared" si="8"/>
        <v>14.77</v>
      </c>
      <c r="J82" s="110">
        <f t="shared" si="9"/>
        <v>14.77</v>
      </c>
      <c r="K82" s="265">
        <f t="shared" si="7"/>
        <v>7.194481807611412E-06</v>
      </c>
      <c r="L82" s="183"/>
      <c r="M82" s="184">
        <v>14.77</v>
      </c>
    </row>
    <row r="83" spans="1:13" s="184" customFormat="1" ht="11.25">
      <c r="A83" s="13" t="s">
        <v>253</v>
      </c>
      <c r="B83" s="268" t="s">
        <v>30</v>
      </c>
      <c r="C83" s="35" t="s">
        <v>471</v>
      </c>
      <c r="D83" s="36" t="s">
        <v>319</v>
      </c>
      <c r="E83" s="122">
        <v>1</v>
      </c>
      <c r="F83" s="15" t="s">
        <v>195</v>
      </c>
      <c r="G83" s="110">
        <f>M83*0.15</f>
        <v>4.8435</v>
      </c>
      <c r="H83" s="110">
        <f>M83*0.85</f>
        <v>27.446499999999997</v>
      </c>
      <c r="I83" s="110">
        <f t="shared" si="8"/>
        <v>32.29</v>
      </c>
      <c r="J83" s="110">
        <f t="shared" si="9"/>
        <v>32.29</v>
      </c>
      <c r="K83" s="265">
        <f t="shared" si="7"/>
        <v>1.5728491372225626E-05</v>
      </c>
      <c r="L83" s="183"/>
      <c r="M83" s="184">
        <v>32.29</v>
      </c>
    </row>
    <row r="84" spans="1:13" s="184" customFormat="1" ht="11.25">
      <c r="A84" s="13" t="s">
        <v>254</v>
      </c>
      <c r="B84" s="268" t="s">
        <v>30</v>
      </c>
      <c r="C84" s="35">
        <v>89353</v>
      </c>
      <c r="D84" s="36" t="s">
        <v>320</v>
      </c>
      <c r="E84" s="122">
        <v>2</v>
      </c>
      <c r="F84" s="15" t="s">
        <v>195</v>
      </c>
      <c r="G84" s="110">
        <f>M84*0.15</f>
        <v>4.4805</v>
      </c>
      <c r="H84" s="110">
        <f>M84*0.85</f>
        <v>25.3895</v>
      </c>
      <c r="I84" s="110">
        <f t="shared" si="8"/>
        <v>29.87</v>
      </c>
      <c r="J84" s="110">
        <f t="shared" si="9"/>
        <v>59.74</v>
      </c>
      <c r="K84" s="265">
        <f t="shared" si="7"/>
        <v>2.9099413892126322E-05</v>
      </c>
      <c r="L84" s="183"/>
      <c r="M84" s="184">
        <v>29.87</v>
      </c>
    </row>
    <row r="85" spans="1:12" s="184" customFormat="1" ht="11.25">
      <c r="A85" s="13" t="s">
        <v>255</v>
      </c>
      <c r="B85" s="268" t="s">
        <v>46</v>
      </c>
      <c r="C85" s="35"/>
      <c r="D85" s="36" t="s">
        <v>321</v>
      </c>
      <c r="E85" s="122">
        <v>2</v>
      </c>
      <c r="F85" s="15" t="s">
        <v>195</v>
      </c>
      <c r="G85" s="266">
        <v>28.16</v>
      </c>
      <c r="H85" s="266">
        <v>140.8</v>
      </c>
      <c r="I85" s="110">
        <f t="shared" si="8"/>
        <v>168.96</v>
      </c>
      <c r="J85" s="110">
        <f t="shared" si="9"/>
        <v>337.92</v>
      </c>
      <c r="K85" s="265">
        <f t="shared" si="7"/>
        <v>0.0001646011707805043</v>
      </c>
      <c r="L85" s="183"/>
    </row>
    <row r="86" spans="1:13" s="184" customFormat="1" ht="11.25">
      <c r="A86" s="13" t="s">
        <v>256</v>
      </c>
      <c r="B86" s="268" t="s">
        <v>30</v>
      </c>
      <c r="C86" s="35" t="s">
        <v>472</v>
      </c>
      <c r="D86" s="36" t="s">
        <v>322</v>
      </c>
      <c r="E86" s="122">
        <v>2</v>
      </c>
      <c r="F86" s="15" t="s">
        <v>195</v>
      </c>
      <c r="G86" s="110">
        <f>M86*0.15</f>
        <v>10.911</v>
      </c>
      <c r="H86" s="110">
        <f>M86*0.85</f>
        <v>61.82899999999999</v>
      </c>
      <c r="I86" s="110">
        <f t="shared" si="8"/>
        <v>72.74</v>
      </c>
      <c r="J86" s="110">
        <f t="shared" si="9"/>
        <v>145.48</v>
      </c>
      <c r="K86" s="265">
        <f t="shared" si="7"/>
        <v>7.086345385046095E-05</v>
      </c>
      <c r="L86" s="183"/>
      <c r="M86" s="184">
        <v>72.74</v>
      </c>
    </row>
    <row r="87" spans="1:13" s="184" customFormat="1" ht="11.25">
      <c r="A87" s="13" t="s">
        <v>257</v>
      </c>
      <c r="B87" s="268" t="s">
        <v>30</v>
      </c>
      <c r="C87" s="35" t="s">
        <v>473</v>
      </c>
      <c r="D87" s="36" t="s">
        <v>323</v>
      </c>
      <c r="E87" s="122">
        <v>2</v>
      </c>
      <c r="F87" s="15" t="s">
        <v>195</v>
      </c>
      <c r="G87" s="110">
        <f>M87*0.15</f>
        <v>27.599999999999998</v>
      </c>
      <c r="H87" s="110">
        <f>M87*0.85</f>
        <v>156.4</v>
      </c>
      <c r="I87" s="110">
        <f t="shared" si="8"/>
        <v>184</v>
      </c>
      <c r="J87" s="110">
        <f t="shared" si="9"/>
        <v>368</v>
      </c>
      <c r="K87" s="265">
        <f t="shared" si="7"/>
        <v>0.00017925316893710222</v>
      </c>
      <c r="L87" s="183"/>
      <c r="M87" s="184">
        <v>184</v>
      </c>
    </row>
    <row r="88" spans="1:13" s="184" customFormat="1" ht="11.25">
      <c r="A88" s="13" t="s">
        <v>258</v>
      </c>
      <c r="B88" s="268" t="s">
        <v>30</v>
      </c>
      <c r="C88" s="35" t="s">
        <v>1199</v>
      </c>
      <c r="D88" s="36" t="s">
        <v>324</v>
      </c>
      <c r="E88" s="122">
        <v>2</v>
      </c>
      <c r="F88" s="15" t="s">
        <v>195</v>
      </c>
      <c r="G88" s="110">
        <f>M88*0.15</f>
        <v>3.627</v>
      </c>
      <c r="H88" s="110">
        <f>M88*0.85</f>
        <v>20.553</v>
      </c>
      <c r="I88" s="110">
        <f t="shared" si="8"/>
        <v>24.18</v>
      </c>
      <c r="J88" s="110">
        <f t="shared" si="9"/>
        <v>48.36</v>
      </c>
      <c r="K88" s="265">
        <f t="shared" si="7"/>
        <v>2.3556204483147455E-05</v>
      </c>
      <c r="L88" s="183"/>
      <c r="M88" s="184">
        <v>24.18</v>
      </c>
    </row>
    <row r="89" spans="1:13" s="184" customFormat="1" ht="11.25">
      <c r="A89" s="13" t="s">
        <v>259</v>
      </c>
      <c r="B89" s="268" t="s">
        <v>30</v>
      </c>
      <c r="C89" s="35" t="s">
        <v>340</v>
      </c>
      <c r="D89" s="36" t="s">
        <v>325</v>
      </c>
      <c r="E89" s="122">
        <v>2</v>
      </c>
      <c r="F89" s="15" t="s">
        <v>195</v>
      </c>
      <c r="G89" s="110">
        <f>M89*0.15</f>
        <v>25.538999999999998</v>
      </c>
      <c r="H89" s="110">
        <f>M89*0.85</f>
        <v>144.72099999999998</v>
      </c>
      <c r="I89" s="110">
        <f t="shared" si="8"/>
        <v>170.25999999999996</v>
      </c>
      <c r="J89" s="110">
        <f t="shared" si="9"/>
        <v>340.5199999999999</v>
      </c>
      <c r="K89" s="265">
        <f t="shared" si="7"/>
        <v>0.0001658676333871251</v>
      </c>
      <c r="L89" s="183"/>
      <c r="M89" s="184">
        <v>170.26</v>
      </c>
    </row>
    <row r="90" spans="1:12" s="184" customFormat="1" ht="11.25">
      <c r="A90" s="13" t="s">
        <v>260</v>
      </c>
      <c r="B90" s="268" t="s">
        <v>31</v>
      </c>
      <c r="C90" s="35" t="s">
        <v>341</v>
      </c>
      <c r="D90" s="36" t="s">
        <v>326</v>
      </c>
      <c r="E90" s="122">
        <v>28.75</v>
      </c>
      <c r="F90" s="15" t="s">
        <v>194</v>
      </c>
      <c r="G90" s="267">
        <v>6.77</v>
      </c>
      <c r="H90" s="267">
        <v>8.39</v>
      </c>
      <c r="I90" s="110">
        <f t="shared" si="8"/>
        <v>15.16</v>
      </c>
      <c r="J90" s="110">
        <f t="shared" si="9"/>
        <v>435.85</v>
      </c>
      <c r="K90" s="265">
        <f t="shared" si="7"/>
        <v>0.00021230297195988046</v>
      </c>
      <c r="L90" s="183"/>
    </row>
    <row r="91" spans="1:12" s="184" customFormat="1" ht="11.25">
      <c r="A91" s="13" t="s">
        <v>261</v>
      </c>
      <c r="B91" s="268" t="s">
        <v>31</v>
      </c>
      <c r="C91" s="35" t="s">
        <v>342</v>
      </c>
      <c r="D91" s="36" t="s">
        <v>327</v>
      </c>
      <c r="E91" s="122">
        <v>9.1</v>
      </c>
      <c r="F91" s="15" t="s">
        <v>194</v>
      </c>
      <c r="G91" s="266">
        <v>8.46</v>
      </c>
      <c r="H91" s="266">
        <v>14.65</v>
      </c>
      <c r="I91" s="110">
        <f t="shared" si="8"/>
        <v>23.11</v>
      </c>
      <c r="J91" s="110">
        <f t="shared" si="9"/>
        <v>210.301</v>
      </c>
      <c r="K91" s="265">
        <f t="shared" si="7"/>
        <v>0.0001024378279365259</v>
      </c>
      <c r="L91" s="183"/>
    </row>
    <row r="92" spans="1:12" s="184" customFormat="1" ht="11.25">
      <c r="A92" s="13" t="s">
        <v>262</v>
      </c>
      <c r="B92" s="268" t="s">
        <v>31</v>
      </c>
      <c r="C92" s="35" t="s">
        <v>343</v>
      </c>
      <c r="D92" s="36" t="s">
        <v>328</v>
      </c>
      <c r="E92" s="122">
        <f>44.65+107.67</f>
        <v>152.32</v>
      </c>
      <c r="F92" s="15" t="s">
        <v>194</v>
      </c>
      <c r="G92" s="267">
        <v>11.55</v>
      </c>
      <c r="H92" s="267">
        <v>21.51</v>
      </c>
      <c r="I92" s="110">
        <f t="shared" si="8"/>
        <v>33.06</v>
      </c>
      <c r="J92" s="110">
        <f t="shared" si="9"/>
        <v>5035.6992</v>
      </c>
      <c r="K92" s="265">
        <f t="shared" si="7"/>
        <v>0.002452894128842474</v>
      </c>
      <c r="L92" s="183"/>
    </row>
    <row r="93" spans="1:12" s="184" customFormat="1" ht="11.25">
      <c r="A93" s="13" t="s">
        <v>263</v>
      </c>
      <c r="B93" s="268" t="s">
        <v>31</v>
      </c>
      <c r="C93" s="35" t="s">
        <v>344</v>
      </c>
      <c r="D93" s="36" t="s">
        <v>329</v>
      </c>
      <c r="E93" s="122">
        <v>15.44</v>
      </c>
      <c r="F93" s="15" t="s">
        <v>194</v>
      </c>
      <c r="G93" s="266">
        <v>13.54</v>
      </c>
      <c r="H93" s="266">
        <v>29.45</v>
      </c>
      <c r="I93" s="110">
        <f t="shared" si="8"/>
        <v>42.989999999999995</v>
      </c>
      <c r="J93" s="110">
        <f t="shared" si="9"/>
        <v>663.7656</v>
      </c>
      <c r="K93" s="265">
        <f t="shared" si="7"/>
        <v>0.0003233208892158614</v>
      </c>
      <c r="L93" s="183"/>
    </row>
    <row r="94" spans="1:13" s="184" customFormat="1" ht="11.25">
      <c r="A94" s="13" t="s">
        <v>264</v>
      </c>
      <c r="B94" s="268" t="s">
        <v>201</v>
      </c>
      <c r="C94" s="35" t="s">
        <v>474</v>
      </c>
      <c r="D94" s="36" t="s">
        <v>330</v>
      </c>
      <c r="E94" s="122">
        <v>2</v>
      </c>
      <c r="F94" s="15" t="s">
        <v>195</v>
      </c>
      <c r="G94" s="110">
        <f>M94*0.15*1.5</f>
        <v>22.985999999999997</v>
      </c>
      <c r="H94" s="110">
        <f>M94*0.85*1.5</f>
        <v>130.254</v>
      </c>
      <c r="I94" s="110">
        <f t="shared" si="8"/>
        <v>153.23999999999998</v>
      </c>
      <c r="J94" s="110">
        <f t="shared" si="9"/>
        <v>306.47999999999996</v>
      </c>
      <c r="K94" s="265">
        <f t="shared" si="7"/>
        <v>0.00014928671526044315</v>
      </c>
      <c r="L94" s="183"/>
      <c r="M94" s="184">
        <v>102.16</v>
      </c>
    </row>
    <row r="95" spans="1:12" s="184" customFormat="1" ht="11.25">
      <c r="A95" s="13" t="s">
        <v>265</v>
      </c>
      <c r="B95" s="268" t="s">
        <v>31</v>
      </c>
      <c r="C95" s="35" t="s">
        <v>475</v>
      </c>
      <c r="D95" s="36" t="s">
        <v>331</v>
      </c>
      <c r="E95" s="122">
        <v>2</v>
      </c>
      <c r="F95" s="15" t="s">
        <v>195</v>
      </c>
      <c r="G95" s="266">
        <v>32.42</v>
      </c>
      <c r="H95" s="266">
        <v>405.01</v>
      </c>
      <c r="I95" s="110">
        <f t="shared" si="8"/>
        <v>437.43</v>
      </c>
      <c r="J95" s="110">
        <f t="shared" si="9"/>
        <v>874.86</v>
      </c>
      <c r="K95" s="265">
        <f t="shared" si="7"/>
        <v>0.0004261451830878077</v>
      </c>
      <c r="L95" s="183"/>
    </row>
    <row r="96" spans="1:12" s="184" customFormat="1" ht="11.25">
      <c r="A96" s="13" t="s">
        <v>266</v>
      </c>
      <c r="B96" s="268" t="s">
        <v>31</v>
      </c>
      <c r="C96" s="35" t="s">
        <v>345</v>
      </c>
      <c r="D96" s="36" t="s">
        <v>332</v>
      </c>
      <c r="E96" s="122">
        <v>1</v>
      </c>
      <c r="F96" s="15" t="s">
        <v>195</v>
      </c>
      <c r="G96" s="267">
        <v>8.46</v>
      </c>
      <c r="H96" s="267">
        <v>7.84</v>
      </c>
      <c r="I96" s="110">
        <f t="shared" si="8"/>
        <v>16.3</v>
      </c>
      <c r="J96" s="110">
        <f t="shared" si="9"/>
        <v>16.3</v>
      </c>
      <c r="K96" s="265">
        <f t="shared" si="7"/>
        <v>7.939746341507517E-06</v>
      </c>
      <c r="L96" s="183"/>
    </row>
    <row r="97" spans="1:12" s="184" customFormat="1" ht="11.25">
      <c r="A97" s="13" t="s">
        <v>267</v>
      </c>
      <c r="B97" s="268" t="s">
        <v>31</v>
      </c>
      <c r="C97" s="35" t="s">
        <v>479</v>
      </c>
      <c r="D97" s="36" t="s">
        <v>333</v>
      </c>
      <c r="E97" s="122">
        <v>6</v>
      </c>
      <c r="F97" s="15" t="s">
        <v>195</v>
      </c>
      <c r="G97" s="266">
        <v>12.68</v>
      </c>
      <c r="H97" s="266">
        <v>31.93</v>
      </c>
      <c r="I97" s="110">
        <f t="shared" si="8"/>
        <v>44.61</v>
      </c>
      <c r="J97" s="110">
        <f t="shared" si="9"/>
        <v>267.65999999999997</v>
      </c>
      <c r="K97" s="265">
        <f t="shared" si="7"/>
        <v>0.00013037745434158905</v>
      </c>
      <c r="L97" s="183"/>
    </row>
    <row r="98" spans="1:13" s="184" customFormat="1" ht="11.25">
      <c r="A98" s="13" t="s">
        <v>268</v>
      </c>
      <c r="B98" s="268" t="s">
        <v>30</v>
      </c>
      <c r="C98" s="35">
        <v>89521</v>
      </c>
      <c r="D98" s="36" t="s">
        <v>334</v>
      </c>
      <c r="E98" s="122">
        <v>2</v>
      </c>
      <c r="F98" s="15" t="s">
        <v>195</v>
      </c>
      <c r="G98" s="110">
        <f>M98*0.15</f>
        <v>12.6885</v>
      </c>
      <c r="H98" s="110">
        <f>M98*0.85</f>
        <v>71.9015</v>
      </c>
      <c r="I98" s="110">
        <f t="shared" si="8"/>
        <v>84.59</v>
      </c>
      <c r="J98" s="110">
        <f t="shared" si="9"/>
        <v>169.18</v>
      </c>
      <c r="K98" s="265">
        <f t="shared" si="7"/>
        <v>8.240774761081238E-05</v>
      </c>
      <c r="L98" s="183"/>
      <c r="M98" s="184">
        <v>84.59</v>
      </c>
    </row>
    <row r="99" spans="1:13" s="184" customFormat="1" ht="11.25">
      <c r="A99" s="13" t="s">
        <v>269</v>
      </c>
      <c r="B99" s="268" t="s">
        <v>30</v>
      </c>
      <c r="C99" s="35" t="s">
        <v>477</v>
      </c>
      <c r="D99" s="36" t="s">
        <v>335</v>
      </c>
      <c r="E99" s="122">
        <v>12</v>
      </c>
      <c r="F99" s="15" t="s">
        <v>195</v>
      </c>
      <c r="G99" s="110">
        <f>M99*0.15</f>
        <v>11.241</v>
      </c>
      <c r="H99" s="110">
        <f>M99*0.85</f>
        <v>63.699</v>
      </c>
      <c r="I99" s="110">
        <f t="shared" si="8"/>
        <v>74.94</v>
      </c>
      <c r="J99" s="110">
        <f t="shared" si="9"/>
        <v>899.28</v>
      </c>
      <c r="K99" s="265">
        <f t="shared" si="7"/>
        <v>0.0004380401895699926</v>
      </c>
      <c r="L99" s="183"/>
      <c r="M99" s="184">
        <v>74.94</v>
      </c>
    </row>
    <row r="100" spans="1:13" s="184" customFormat="1" ht="11.25">
      <c r="A100" s="13" t="s">
        <v>270</v>
      </c>
      <c r="B100" s="268" t="s">
        <v>30</v>
      </c>
      <c r="C100" s="35">
        <v>89505</v>
      </c>
      <c r="D100" s="36" t="s">
        <v>336</v>
      </c>
      <c r="E100" s="122">
        <v>4</v>
      </c>
      <c r="F100" s="15" t="s">
        <v>195</v>
      </c>
      <c r="G100" s="110">
        <f>M100*0.15</f>
        <v>4.0725</v>
      </c>
      <c r="H100" s="110">
        <f>M100*0.85</f>
        <v>23.077499999999997</v>
      </c>
      <c r="I100" s="110">
        <f t="shared" si="8"/>
        <v>27.15</v>
      </c>
      <c r="J100" s="110">
        <f t="shared" si="9"/>
        <v>108.6</v>
      </c>
      <c r="K100" s="265">
        <f t="shared" si="7"/>
        <v>5.289916887654701E-05</v>
      </c>
      <c r="L100" s="183"/>
      <c r="M100" s="184">
        <v>27.15</v>
      </c>
    </row>
    <row r="101" spans="1:13" s="184" customFormat="1" ht="11.25">
      <c r="A101" s="13" t="s">
        <v>271</v>
      </c>
      <c r="B101" s="268" t="s">
        <v>30</v>
      </c>
      <c r="C101" s="35" t="s">
        <v>478</v>
      </c>
      <c r="D101" s="36" t="s">
        <v>337</v>
      </c>
      <c r="E101" s="122">
        <v>1</v>
      </c>
      <c r="F101" s="15" t="s">
        <v>195</v>
      </c>
      <c r="G101" s="110">
        <f>M101*0.15</f>
        <v>8.641499999999999</v>
      </c>
      <c r="H101" s="110">
        <f>M101*0.85</f>
        <v>48.9685</v>
      </c>
      <c r="I101" s="110">
        <f t="shared" si="8"/>
        <v>57.61</v>
      </c>
      <c r="J101" s="110">
        <f t="shared" si="9"/>
        <v>57.61</v>
      </c>
      <c r="K101" s="265">
        <f t="shared" si="7"/>
        <v>2.8061888756702335E-05</v>
      </c>
      <c r="L101" s="183"/>
      <c r="M101" s="184">
        <v>57.61</v>
      </c>
    </row>
    <row r="102" spans="1:12" s="184" customFormat="1" ht="11.25">
      <c r="A102" s="13" t="s">
        <v>272</v>
      </c>
      <c r="B102" s="268" t="s">
        <v>31</v>
      </c>
      <c r="C102" s="35" t="s">
        <v>476</v>
      </c>
      <c r="D102" s="36" t="s">
        <v>338</v>
      </c>
      <c r="E102" s="122">
        <v>2</v>
      </c>
      <c r="F102" s="15" t="s">
        <v>195</v>
      </c>
      <c r="G102" s="267">
        <v>4.65</v>
      </c>
      <c r="H102" s="267">
        <v>10.11</v>
      </c>
      <c r="I102" s="110">
        <f aca="true" t="shared" si="10" ref="I102:I107">SUM(G102:H102)</f>
        <v>14.76</v>
      </c>
      <c r="J102" s="110">
        <f aca="true" t="shared" si="11" ref="J102:J107">I102*E102</f>
        <v>29.52</v>
      </c>
      <c r="K102" s="265">
        <f t="shared" si="7"/>
        <v>1.4379221595171895E-05</v>
      </c>
      <c r="L102" s="183"/>
    </row>
    <row r="103" spans="1:13" s="184" customFormat="1" ht="22.5">
      <c r="A103" s="111" t="s">
        <v>273</v>
      </c>
      <c r="B103" s="228" t="s">
        <v>30</v>
      </c>
      <c r="C103" s="35" t="s">
        <v>1199</v>
      </c>
      <c r="D103" s="227" t="s">
        <v>339</v>
      </c>
      <c r="E103" s="122">
        <v>8</v>
      </c>
      <c r="F103" s="11" t="s">
        <v>195</v>
      </c>
      <c r="G103" s="110">
        <f>M103*0.15</f>
        <v>3.627</v>
      </c>
      <c r="H103" s="110">
        <f>M103*0.85</f>
        <v>20.553</v>
      </c>
      <c r="I103" s="110">
        <f t="shared" si="10"/>
        <v>24.18</v>
      </c>
      <c r="J103" s="110">
        <f t="shared" si="11"/>
        <v>193.44</v>
      </c>
      <c r="K103" s="265">
        <f t="shared" si="7"/>
        <v>9.422481793258982E-05</v>
      </c>
      <c r="L103" s="183"/>
      <c r="M103" s="184">
        <v>24.18</v>
      </c>
    </row>
    <row r="104" spans="1:12" s="184" customFormat="1" ht="11.25">
      <c r="A104" s="111" t="s">
        <v>437</v>
      </c>
      <c r="B104" s="228" t="s">
        <v>31</v>
      </c>
      <c r="C104" s="129" t="s">
        <v>529</v>
      </c>
      <c r="D104" s="227" t="s">
        <v>516</v>
      </c>
      <c r="E104" s="122">
        <v>1</v>
      </c>
      <c r="F104" s="11" t="s">
        <v>195</v>
      </c>
      <c r="G104" s="267">
        <v>5.36</v>
      </c>
      <c r="H104" s="267">
        <v>8.47</v>
      </c>
      <c r="I104" s="110">
        <f t="shared" si="10"/>
        <v>13.830000000000002</v>
      </c>
      <c r="J104" s="110">
        <f t="shared" si="11"/>
        <v>13.830000000000002</v>
      </c>
      <c r="K104" s="265">
        <f t="shared" si="7"/>
        <v>6.736606865217728E-06</v>
      </c>
      <c r="L104" s="183"/>
    </row>
    <row r="105" spans="1:13" s="189" customFormat="1" ht="11.25">
      <c r="A105" s="111" t="s">
        <v>438</v>
      </c>
      <c r="B105" s="228" t="s">
        <v>30</v>
      </c>
      <c r="C105" s="129" t="s">
        <v>527</v>
      </c>
      <c r="D105" s="227" t="s">
        <v>522</v>
      </c>
      <c r="E105" s="122">
        <v>3</v>
      </c>
      <c r="F105" s="11" t="s">
        <v>195</v>
      </c>
      <c r="G105" s="110">
        <f>M105*0.15</f>
        <v>7.6995</v>
      </c>
      <c r="H105" s="110">
        <f>M105*0.85</f>
        <v>43.6305</v>
      </c>
      <c r="I105" s="110">
        <f t="shared" si="10"/>
        <v>51.33</v>
      </c>
      <c r="J105" s="110">
        <f t="shared" si="11"/>
        <v>153.99</v>
      </c>
      <c r="K105" s="265">
        <f t="shared" si="7"/>
        <v>7.500868338213145E-05</v>
      </c>
      <c r="L105" s="195"/>
      <c r="M105" s="189">
        <v>51.33</v>
      </c>
    </row>
    <row r="106" spans="1:13" s="189" customFormat="1" ht="11.25">
      <c r="A106" s="111" t="s">
        <v>517</v>
      </c>
      <c r="B106" s="228" t="s">
        <v>30</v>
      </c>
      <c r="C106" s="129" t="s">
        <v>528</v>
      </c>
      <c r="D106" s="227" t="s">
        <v>521</v>
      </c>
      <c r="E106" s="122">
        <v>1</v>
      </c>
      <c r="F106" s="11" t="s">
        <v>195</v>
      </c>
      <c r="G106" s="110">
        <f>M106*0.15</f>
        <v>3.7065</v>
      </c>
      <c r="H106" s="110">
        <f>M106*0.85</f>
        <v>21.0035</v>
      </c>
      <c r="I106" s="110">
        <f t="shared" si="10"/>
        <v>24.71</v>
      </c>
      <c r="J106" s="110">
        <f t="shared" si="11"/>
        <v>24.71</v>
      </c>
      <c r="K106" s="265">
        <f t="shared" si="7"/>
        <v>1.203626577292336E-05</v>
      </c>
      <c r="L106" s="195"/>
      <c r="M106" s="189">
        <v>24.71</v>
      </c>
    </row>
    <row r="107" spans="1:12" s="184" customFormat="1" ht="11.25">
      <c r="A107" s="13" t="s">
        <v>518</v>
      </c>
      <c r="B107" s="228" t="s">
        <v>46</v>
      </c>
      <c r="C107" s="129"/>
      <c r="D107" s="227" t="s">
        <v>523</v>
      </c>
      <c r="E107" s="122">
        <v>1</v>
      </c>
      <c r="F107" s="11" t="s">
        <v>195</v>
      </c>
      <c r="G107" s="267">
        <v>7.05</v>
      </c>
      <c r="H107" s="267">
        <v>13.4</v>
      </c>
      <c r="I107" s="110">
        <f t="shared" si="10"/>
        <v>20.45</v>
      </c>
      <c r="J107" s="110">
        <f t="shared" si="11"/>
        <v>20.45</v>
      </c>
      <c r="K107" s="265">
        <f t="shared" si="7"/>
        <v>9.961215502075381E-06</v>
      </c>
      <c r="L107" s="183"/>
    </row>
    <row r="108" spans="1:12" s="184" customFormat="1" ht="11.25">
      <c r="A108" s="13"/>
      <c r="B108" s="268"/>
      <c r="C108" s="35"/>
      <c r="D108" s="274" t="s">
        <v>417</v>
      </c>
      <c r="E108" s="122"/>
      <c r="F108" s="15"/>
      <c r="G108" s="267"/>
      <c r="H108" s="267"/>
      <c r="I108" s="110"/>
      <c r="J108" s="110"/>
      <c r="K108" s="265"/>
      <c r="L108" s="183"/>
    </row>
    <row r="109" spans="1:13" s="184" customFormat="1" ht="22.5">
      <c r="A109" s="13" t="s">
        <v>519</v>
      </c>
      <c r="B109" s="268" t="s">
        <v>30</v>
      </c>
      <c r="C109" s="35">
        <v>89447</v>
      </c>
      <c r="D109" s="190" t="s">
        <v>434</v>
      </c>
      <c r="E109" s="254">
        <v>22.47</v>
      </c>
      <c r="F109" s="25" t="s">
        <v>70</v>
      </c>
      <c r="G109" s="110">
        <f>M109*0.15</f>
        <v>1.1444999999999999</v>
      </c>
      <c r="H109" s="110">
        <f>M109*0.85</f>
        <v>6.4855</v>
      </c>
      <c r="I109" s="110">
        <f>SUM(G109:H109)</f>
        <v>7.63</v>
      </c>
      <c r="J109" s="110">
        <f>I109*E109</f>
        <v>171.4461</v>
      </c>
      <c r="K109" s="265">
        <f>J109/$J$633</f>
        <v>8.351156719268294E-05</v>
      </c>
      <c r="L109" s="183"/>
      <c r="M109" s="184">
        <v>7.63</v>
      </c>
    </row>
    <row r="110" spans="1:13" s="184" customFormat="1" ht="22.5">
      <c r="A110" s="13" t="s">
        <v>520</v>
      </c>
      <c r="B110" s="268" t="s">
        <v>30</v>
      </c>
      <c r="C110" s="35" t="s">
        <v>436</v>
      </c>
      <c r="D110" s="36" t="s">
        <v>435</v>
      </c>
      <c r="E110" s="122">
        <v>1</v>
      </c>
      <c r="F110" s="15" t="s">
        <v>195</v>
      </c>
      <c r="G110" s="110">
        <f>M110*0.15</f>
        <v>17.367</v>
      </c>
      <c r="H110" s="110">
        <f>M110*0.85</f>
        <v>98.413</v>
      </c>
      <c r="I110" s="110">
        <f>SUM(G110:H110)</f>
        <v>115.78</v>
      </c>
      <c r="J110" s="110">
        <f>I110*E110</f>
        <v>115.78</v>
      </c>
      <c r="K110" s="265">
        <f>J110/$J$633</f>
        <v>5.6396554074830694E-05</v>
      </c>
      <c r="L110" s="183"/>
      <c r="M110" s="184">
        <v>115.78</v>
      </c>
    </row>
    <row r="111" spans="1:11" ht="11.25">
      <c r="A111" s="9" t="s">
        <v>98</v>
      </c>
      <c r="B111" s="269"/>
      <c r="C111" s="186"/>
      <c r="D111" s="202" t="s">
        <v>82</v>
      </c>
      <c r="E111" s="256"/>
      <c r="F111" s="203"/>
      <c r="G111" s="263"/>
      <c r="H111" s="34"/>
      <c r="I111" s="7"/>
      <c r="J111" s="19">
        <f>SUM(J112:J123)</f>
        <v>4509.0385</v>
      </c>
      <c r="K111" s="272">
        <f aca="true" t="shared" si="12" ref="K111:K123">J111/$J$633</f>
        <v>0.0021963571738706465</v>
      </c>
    </row>
    <row r="112" spans="1:13" s="184" customFormat="1" ht="11.25">
      <c r="A112" s="13" t="s">
        <v>208</v>
      </c>
      <c r="B112" s="268" t="s">
        <v>30</v>
      </c>
      <c r="C112" s="35">
        <v>89491</v>
      </c>
      <c r="D112" s="36" t="s">
        <v>346</v>
      </c>
      <c r="E112" s="122">
        <v>10</v>
      </c>
      <c r="F112" s="15" t="s">
        <v>195</v>
      </c>
      <c r="G112" s="110">
        <f>M112*0.15</f>
        <v>5.742</v>
      </c>
      <c r="H112" s="110">
        <f>M112*0.85</f>
        <v>32.538</v>
      </c>
      <c r="I112" s="259">
        <f>SUM(G112:H112)</f>
        <v>38.279999999999994</v>
      </c>
      <c r="J112" s="259">
        <f>I112*E112</f>
        <v>382.79999999999995</v>
      </c>
      <c r="K112" s="265">
        <f t="shared" si="12"/>
        <v>0.00018646226377479</v>
      </c>
      <c r="L112" s="183"/>
      <c r="M112" s="184">
        <v>38.28</v>
      </c>
    </row>
    <row r="113" spans="1:13" s="184" customFormat="1" ht="11.25">
      <c r="A113" s="13" t="s">
        <v>209</v>
      </c>
      <c r="B113" s="268" t="s">
        <v>30</v>
      </c>
      <c r="C113" s="35">
        <v>89491</v>
      </c>
      <c r="D113" s="190" t="s">
        <v>480</v>
      </c>
      <c r="E113" s="122">
        <v>40</v>
      </c>
      <c r="F113" s="25" t="s">
        <v>195</v>
      </c>
      <c r="G113" s="110">
        <f>M113*0.15</f>
        <v>5.742</v>
      </c>
      <c r="H113" s="110">
        <f>M113*0.85</f>
        <v>32.538</v>
      </c>
      <c r="I113" s="259">
        <f>SUM(G113:H113)</f>
        <v>38.279999999999994</v>
      </c>
      <c r="J113" s="259">
        <f>I113*E113</f>
        <v>1531.1999999999998</v>
      </c>
      <c r="K113" s="265">
        <f t="shared" si="12"/>
        <v>0.00074584905509916</v>
      </c>
      <c r="L113" s="183"/>
      <c r="M113" s="184">
        <v>38.28</v>
      </c>
    </row>
    <row r="114" spans="1:12" s="184" customFormat="1" ht="11.25">
      <c r="A114" s="13" t="s">
        <v>210</v>
      </c>
      <c r="B114" s="268" t="s">
        <v>31</v>
      </c>
      <c r="C114" s="35" t="s">
        <v>354</v>
      </c>
      <c r="D114" s="36" t="s">
        <v>347</v>
      </c>
      <c r="E114" s="122">
        <v>6</v>
      </c>
      <c r="F114" s="15" t="s">
        <v>195</v>
      </c>
      <c r="G114" s="267">
        <v>24.81</v>
      </c>
      <c r="H114" s="258">
        <v>203.65</v>
      </c>
      <c r="I114" s="259">
        <f>SUM(G114:H114)</f>
        <v>228.46</v>
      </c>
      <c r="J114" s="259">
        <f>I114*E114</f>
        <v>1370.76</v>
      </c>
      <c r="K114" s="265">
        <f t="shared" si="12"/>
        <v>0.0006676985702506039</v>
      </c>
      <c r="L114" s="183"/>
    </row>
    <row r="115" spans="1:13" s="184" customFormat="1" ht="11.25">
      <c r="A115" s="13" t="s">
        <v>211</v>
      </c>
      <c r="B115" s="268" t="s">
        <v>30</v>
      </c>
      <c r="C115" s="35" t="s">
        <v>481</v>
      </c>
      <c r="D115" s="190" t="s">
        <v>348</v>
      </c>
      <c r="E115" s="122">
        <v>7</v>
      </c>
      <c r="F115" s="25" t="s">
        <v>195</v>
      </c>
      <c r="G115" s="110">
        <f>M115*0.15</f>
        <v>1.068</v>
      </c>
      <c r="H115" s="110">
        <f>M115*0.85</f>
        <v>6.052</v>
      </c>
      <c r="I115" s="259">
        <f>SUM(G115:H115)</f>
        <v>7.119999999999999</v>
      </c>
      <c r="J115" s="259">
        <f>I115*E115</f>
        <v>49.839999999999996</v>
      </c>
      <c r="K115" s="265">
        <f t="shared" si="12"/>
        <v>2.4277113966916235E-05</v>
      </c>
      <c r="L115" s="183"/>
      <c r="M115" s="184">
        <v>7.12</v>
      </c>
    </row>
    <row r="116" spans="1:12" s="184" customFormat="1" ht="22.5">
      <c r="A116" s="13" t="s">
        <v>212</v>
      </c>
      <c r="B116" s="268" t="s">
        <v>482</v>
      </c>
      <c r="C116" s="35" t="s">
        <v>483</v>
      </c>
      <c r="D116" s="36" t="s">
        <v>349</v>
      </c>
      <c r="E116" s="122">
        <v>5</v>
      </c>
      <c r="F116" s="15" t="s">
        <v>195</v>
      </c>
      <c r="G116" s="267">
        <f>2.26*1.33</f>
        <v>3.0058</v>
      </c>
      <c r="H116" s="258">
        <f>36.83*1.33</f>
        <v>48.9839</v>
      </c>
      <c r="I116" s="110">
        <f aca="true" t="shared" si="13" ref="I116:I123">SUM(G116:H116)</f>
        <v>51.9897</v>
      </c>
      <c r="J116" s="110">
        <f aca="true" t="shared" si="14" ref="J116:J123">I116*E116</f>
        <v>259.94849999999997</v>
      </c>
      <c r="K116" s="265">
        <f t="shared" si="12"/>
        <v>0.00012662117496045193</v>
      </c>
      <c r="L116" s="183"/>
    </row>
    <row r="117" spans="1:12" s="184" customFormat="1" ht="11.25">
      <c r="A117" s="13" t="s">
        <v>213</v>
      </c>
      <c r="B117" s="268" t="s">
        <v>31</v>
      </c>
      <c r="C117" s="35" t="s">
        <v>355</v>
      </c>
      <c r="D117" s="190" t="s">
        <v>350</v>
      </c>
      <c r="E117" s="122">
        <v>7</v>
      </c>
      <c r="F117" s="25" t="s">
        <v>195</v>
      </c>
      <c r="G117" s="34">
        <v>2.26</v>
      </c>
      <c r="H117" s="34">
        <v>3.05</v>
      </c>
      <c r="I117" s="110">
        <f t="shared" si="13"/>
        <v>5.31</v>
      </c>
      <c r="J117" s="110">
        <f t="shared" si="14"/>
        <v>37.169999999999995</v>
      </c>
      <c r="K117" s="265">
        <f t="shared" si="12"/>
        <v>1.8105544264652414E-05</v>
      </c>
      <c r="L117" s="183"/>
    </row>
    <row r="118" spans="1:12" s="184" customFormat="1" ht="11.25">
      <c r="A118" s="13" t="s">
        <v>214</v>
      </c>
      <c r="B118" s="268" t="s">
        <v>31</v>
      </c>
      <c r="C118" s="35" t="s">
        <v>356</v>
      </c>
      <c r="D118" s="190" t="s">
        <v>351</v>
      </c>
      <c r="E118" s="122">
        <v>46</v>
      </c>
      <c r="F118" s="25" t="s">
        <v>195</v>
      </c>
      <c r="G118" s="267">
        <v>2.82</v>
      </c>
      <c r="H118" s="258">
        <v>4.85</v>
      </c>
      <c r="I118" s="110">
        <f t="shared" si="13"/>
        <v>7.67</v>
      </c>
      <c r="J118" s="110">
        <f t="shared" si="14"/>
        <v>352.82</v>
      </c>
      <c r="K118" s="265">
        <f t="shared" si="12"/>
        <v>0.00017185897571844676</v>
      </c>
      <c r="L118" s="183"/>
    </row>
    <row r="119" spans="1:12" s="184" customFormat="1" ht="11.25">
      <c r="A119" s="13" t="s">
        <v>215</v>
      </c>
      <c r="B119" s="268" t="s">
        <v>31</v>
      </c>
      <c r="C119" s="35" t="s">
        <v>357</v>
      </c>
      <c r="D119" s="190" t="s">
        <v>352</v>
      </c>
      <c r="E119" s="122">
        <v>7</v>
      </c>
      <c r="F119" s="25" t="s">
        <v>195</v>
      </c>
      <c r="G119" s="267">
        <v>2.26</v>
      </c>
      <c r="H119" s="258">
        <v>1.5</v>
      </c>
      <c r="I119" s="110">
        <f t="shared" si="13"/>
        <v>3.76</v>
      </c>
      <c r="J119" s="110">
        <f t="shared" si="14"/>
        <v>26.32</v>
      </c>
      <c r="K119" s="265">
        <f t="shared" si="12"/>
        <v>1.282049838702318E-05</v>
      </c>
      <c r="L119" s="183"/>
    </row>
    <row r="120" spans="1:12" s="184" customFormat="1" ht="11.25">
      <c r="A120" s="13" t="s">
        <v>216</v>
      </c>
      <c r="B120" s="268" t="s">
        <v>31</v>
      </c>
      <c r="C120" s="35" t="s">
        <v>358</v>
      </c>
      <c r="D120" s="190" t="s">
        <v>353</v>
      </c>
      <c r="E120" s="122">
        <v>41</v>
      </c>
      <c r="F120" s="25" t="s">
        <v>195</v>
      </c>
      <c r="G120" s="34">
        <v>2.26</v>
      </c>
      <c r="H120" s="34">
        <v>3.12</v>
      </c>
      <c r="I120" s="110">
        <f t="shared" si="13"/>
        <v>5.38</v>
      </c>
      <c r="J120" s="110">
        <f t="shared" si="14"/>
        <v>220.57999999999998</v>
      </c>
      <c r="K120" s="265">
        <f t="shared" si="12"/>
        <v>0.0001074447391417011</v>
      </c>
      <c r="L120" s="183"/>
    </row>
    <row r="121" spans="1:12" s="184" customFormat="1" ht="11.25">
      <c r="A121" s="13"/>
      <c r="B121" s="268"/>
      <c r="C121" s="35"/>
      <c r="D121" s="274" t="s">
        <v>417</v>
      </c>
      <c r="E121" s="122"/>
      <c r="F121" s="15"/>
      <c r="G121" s="267"/>
      <c r="H121" s="267"/>
      <c r="I121" s="110">
        <f t="shared" si="13"/>
        <v>0</v>
      </c>
      <c r="J121" s="110">
        <f t="shared" si="14"/>
        <v>0</v>
      </c>
      <c r="K121" s="265">
        <f t="shared" si="12"/>
        <v>0</v>
      </c>
      <c r="L121" s="183"/>
    </row>
    <row r="122" spans="1:13" s="184" customFormat="1" ht="22.5">
      <c r="A122" s="13" t="s">
        <v>440</v>
      </c>
      <c r="B122" s="268" t="s">
        <v>30</v>
      </c>
      <c r="C122" s="35">
        <v>89712</v>
      </c>
      <c r="D122" s="190" t="s">
        <v>439</v>
      </c>
      <c r="E122" s="254">
        <v>5</v>
      </c>
      <c r="F122" s="25" t="s">
        <v>195</v>
      </c>
      <c r="G122" s="110">
        <f>M122*0.15</f>
        <v>2.8634999999999997</v>
      </c>
      <c r="H122" s="110">
        <f>M122*0.85</f>
        <v>16.226499999999998</v>
      </c>
      <c r="I122" s="110">
        <f t="shared" si="13"/>
        <v>19.089999999999996</v>
      </c>
      <c r="J122" s="110">
        <f t="shared" si="14"/>
        <v>95.44999999999999</v>
      </c>
      <c r="K122" s="265">
        <f t="shared" si="12"/>
        <v>4.649379069306088E-05</v>
      </c>
      <c r="L122" s="183"/>
      <c r="M122" s="184">
        <v>19.09</v>
      </c>
    </row>
    <row r="123" spans="1:13" s="184" customFormat="1" ht="22.5">
      <c r="A123" s="13" t="s">
        <v>441</v>
      </c>
      <c r="B123" s="268" t="s">
        <v>30</v>
      </c>
      <c r="C123" s="35">
        <v>89714</v>
      </c>
      <c r="D123" s="36" t="s">
        <v>463</v>
      </c>
      <c r="E123" s="122">
        <v>5</v>
      </c>
      <c r="F123" s="25" t="s">
        <v>195</v>
      </c>
      <c r="G123" s="110">
        <f>M123*0.15</f>
        <v>5.4645</v>
      </c>
      <c r="H123" s="110">
        <f>M123*0.85</f>
        <v>30.9655</v>
      </c>
      <c r="I123" s="110">
        <f t="shared" si="13"/>
        <v>36.43</v>
      </c>
      <c r="J123" s="110">
        <f t="shared" si="14"/>
        <v>182.15</v>
      </c>
      <c r="K123" s="265">
        <f t="shared" si="12"/>
        <v>8.872544761384013E-05</v>
      </c>
      <c r="L123" s="183"/>
      <c r="M123" s="184">
        <v>36.43</v>
      </c>
    </row>
    <row r="124" spans="1:11" ht="11.25">
      <c r="A124" s="9" t="s">
        <v>81</v>
      </c>
      <c r="B124" s="269"/>
      <c r="C124" s="186"/>
      <c r="D124" s="270" t="s">
        <v>381</v>
      </c>
      <c r="E124" s="256"/>
      <c r="F124" s="35"/>
      <c r="G124" s="263"/>
      <c r="H124" s="34"/>
      <c r="I124" s="7"/>
      <c r="J124" s="19">
        <f>SUM(J125:J144)</f>
        <v>11820.369999999999</v>
      </c>
      <c r="K124" s="272">
        <f aca="true" t="shared" si="15" ref="K124:K144">J124/$J$633</f>
        <v>0.005757714077470257</v>
      </c>
    </row>
    <row r="125" spans="1:12" s="184" customFormat="1" ht="11.25">
      <c r="A125" s="13" t="s">
        <v>217</v>
      </c>
      <c r="B125" s="268" t="s">
        <v>46</v>
      </c>
      <c r="C125" s="35"/>
      <c r="D125" s="36" t="s">
        <v>382</v>
      </c>
      <c r="E125" s="122">
        <v>1</v>
      </c>
      <c r="F125" s="35" t="s">
        <v>195</v>
      </c>
      <c r="G125" s="267"/>
      <c r="H125" s="258">
        <v>1458.07</v>
      </c>
      <c r="I125" s="259">
        <f>SUM(G125:H125)</f>
        <v>1458.07</v>
      </c>
      <c r="J125" s="259">
        <f>I125*E125</f>
        <v>1458.07</v>
      </c>
      <c r="K125" s="265">
        <f t="shared" si="15"/>
        <v>0.0007102273587829364</v>
      </c>
      <c r="L125" s="183"/>
    </row>
    <row r="126" spans="1:12" s="184" customFormat="1" ht="11.25">
      <c r="A126" s="13" t="s">
        <v>218</v>
      </c>
      <c r="B126" s="268" t="s">
        <v>46</v>
      </c>
      <c r="C126" s="35"/>
      <c r="D126" s="190" t="s">
        <v>383</v>
      </c>
      <c r="E126" s="122">
        <v>1</v>
      </c>
      <c r="F126" s="35" t="s">
        <v>195</v>
      </c>
      <c r="G126" s="267"/>
      <c r="H126" s="258">
        <v>1458.07</v>
      </c>
      <c r="I126" s="259">
        <f aca="true" t="shared" si="16" ref="I126:I133">SUM(G126:H126)</f>
        <v>1458.07</v>
      </c>
      <c r="J126" s="259">
        <f aca="true" t="shared" si="17" ref="J126:J133">I126*E126</f>
        <v>1458.07</v>
      </c>
      <c r="K126" s="265">
        <f t="shared" si="15"/>
        <v>0.0007102273587829364</v>
      </c>
      <c r="L126" s="183"/>
    </row>
    <row r="127" spans="1:12" s="184" customFormat="1" ht="11.25">
      <c r="A127" s="13" t="s">
        <v>219</v>
      </c>
      <c r="B127" s="268" t="s">
        <v>46</v>
      </c>
      <c r="C127" s="35"/>
      <c r="D127" s="36" t="s">
        <v>384</v>
      </c>
      <c r="E127" s="122">
        <v>1</v>
      </c>
      <c r="F127" s="35" t="s">
        <v>195</v>
      </c>
      <c r="G127" s="267"/>
      <c r="H127" s="258">
        <v>1458.07</v>
      </c>
      <c r="I127" s="259">
        <f t="shared" si="16"/>
        <v>1458.07</v>
      </c>
      <c r="J127" s="259">
        <f t="shared" si="17"/>
        <v>1458.07</v>
      </c>
      <c r="K127" s="265">
        <f t="shared" si="15"/>
        <v>0.0007102273587829364</v>
      </c>
      <c r="L127" s="183"/>
    </row>
    <row r="128" spans="1:13" s="184" customFormat="1" ht="11.25">
      <c r="A128" s="13" t="s">
        <v>220</v>
      </c>
      <c r="B128" s="268" t="s">
        <v>30</v>
      </c>
      <c r="C128" s="35" t="s">
        <v>1200</v>
      </c>
      <c r="D128" s="190" t="s">
        <v>385</v>
      </c>
      <c r="E128" s="122">
        <v>8</v>
      </c>
      <c r="F128" s="35" t="s">
        <v>195</v>
      </c>
      <c r="G128" s="110">
        <f>M128*0.15</f>
        <v>55.2285</v>
      </c>
      <c r="H128" s="110">
        <f>M128*0.85</f>
        <v>312.9615</v>
      </c>
      <c r="I128" s="259">
        <f t="shared" si="16"/>
        <v>368.19</v>
      </c>
      <c r="J128" s="259">
        <f t="shared" si="17"/>
        <v>2945.52</v>
      </c>
      <c r="K128" s="265">
        <f t="shared" si="15"/>
        <v>0.0014347657450206883</v>
      </c>
      <c r="L128" s="183"/>
      <c r="M128" s="184">
        <v>368.19</v>
      </c>
    </row>
    <row r="129" spans="1:13" s="184" customFormat="1" ht="11.25">
      <c r="A129" s="13" t="s">
        <v>221</v>
      </c>
      <c r="B129" s="268" t="s">
        <v>30</v>
      </c>
      <c r="C129" s="35" t="s">
        <v>486</v>
      </c>
      <c r="D129" s="36" t="s">
        <v>386</v>
      </c>
      <c r="E129" s="122">
        <v>5</v>
      </c>
      <c r="F129" s="35" t="s">
        <v>195</v>
      </c>
      <c r="G129" s="110">
        <f>M129*0.15</f>
        <v>18.041999999999998</v>
      </c>
      <c r="H129" s="110">
        <f>M129*0.85</f>
        <v>102.238</v>
      </c>
      <c r="I129" s="259">
        <f t="shared" si="16"/>
        <v>120.28</v>
      </c>
      <c r="J129" s="259">
        <f t="shared" si="17"/>
        <v>601.4</v>
      </c>
      <c r="K129" s="265">
        <f t="shared" si="15"/>
        <v>0.0002929425429314491</v>
      </c>
      <c r="L129" s="183"/>
      <c r="M129" s="184">
        <v>120.28</v>
      </c>
    </row>
    <row r="130" spans="1:13" s="184" customFormat="1" ht="11.25">
      <c r="A130" s="13" t="s">
        <v>222</v>
      </c>
      <c r="B130" s="268" t="s">
        <v>30</v>
      </c>
      <c r="C130" s="35" t="s">
        <v>473</v>
      </c>
      <c r="D130" s="190" t="s">
        <v>387</v>
      </c>
      <c r="E130" s="122">
        <v>6</v>
      </c>
      <c r="F130" s="35" t="s">
        <v>195</v>
      </c>
      <c r="G130" s="110">
        <f>M130*0.15</f>
        <v>27.599999999999998</v>
      </c>
      <c r="H130" s="110">
        <f>M130*0.85</f>
        <v>156.4</v>
      </c>
      <c r="I130" s="259">
        <f t="shared" si="16"/>
        <v>184</v>
      </c>
      <c r="J130" s="259">
        <f t="shared" si="17"/>
        <v>1104</v>
      </c>
      <c r="K130" s="265">
        <f t="shared" si="15"/>
        <v>0.0005377595068113066</v>
      </c>
      <c r="L130" s="183"/>
      <c r="M130" s="184">
        <v>184</v>
      </c>
    </row>
    <row r="131" spans="1:13" s="184" customFormat="1" ht="11.25">
      <c r="A131" s="13" t="s">
        <v>223</v>
      </c>
      <c r="B131" s="268" t="s">
        <v>30</v>
      </c>
      <c r="C131" s="35" t="s">
        <v>472</v>
      </c>
      <c r="D131" s="190" t="s">
        <v>388</v>
      </c>
      <c r="E131" s="122">
        <v>9</v>
      </c>
      <c r="F131" s="35" t="s">
        <v>195</v>
      </c>
      <c r="G131" s="110">
        <f>M131*0.15</f>
        <v>10.911</v>
      </c>
      <c r="H131" s="110">
        <f>M131*0.85</f>
        <v>61.82899999999999</v>
      </c>
      <c r="I131" s="259">
        <f t="shared" si="16"/>
        <v>72.74</v>
      </c>
      <c r="J131" s="259">
        <f t="shared" si="17"/>
        <v>654.66</v>
      </c>
      <c r="K131" s="265">
        <f t="shared" si="15"/>
        <v>0.0003188855423270743</v>
      </c>
      <c r="L131" s="183"/>
      <c r="M131" s="184">
        <v>72.74</v>
      </c>
    </row>
    <row r="132" spans="1:13" s="184" customFormat="1" ht="11.25">
      <c r="A132" s="13" t="s">
        <v>224</v>
      </c>
      <c r="B132" s="268" t="s">
        <v>30</v>
      </c>
      <c r="C132" s="35" t="s">
        <v>487</v>
      </c>
      <c r="D132" s="190" t="s">
        <v>389</v>
      </c>
      <c r="E132" s="122">
        <v>5</v>
      </c>
      <c r="F132" s="35" t="s">
        <v>195</v>
      </c>
      <c r="G132" s="110">
        <f>M132*0.15</f>
        <v>22.483499999999996</v>
      </c>
      <c r="H132" s="110">
        <f>M132*0.85</f>
        <v>127.40649999999998</v>
      </c>
      <c r="I132" s="259">
        <f t="shared" si="16"/>
        <v>149.89</v>
      </c>
      <c r="J132" s="259">
        <f t="shared" si="17"/>
        <v>749.4499999999999</v>
      </c>
      <c r="K132" s="265">
        <f t="shared" si="15"/>
        <v>0.00036505784635845447</v>
      </c>
      <c r="L132" s="183"/>
      <c r="M132" s="184">
        <v>149.89</v>
      </c>
    </row>
    <row r="133" spans="1:12" s="184" customFormat="1" ht="11.25">
      <c r="A133" s="13" t="s">
        <v>225</v>
      </c>
      <c r="B133" s="268" t="s">
        <v>31</v>
      </c>
      <c r="C133" s="35" t="s">
        <v>488</v>
      </c>
      <c r="D133" s="190" t="s">
        <v>390</v>
      </c>
      <c r="E133" s="122">
        <v>6</v>
      </c>
      <c r="F133" s="35" t="s">
        <v>195</v>
      </c>
      <c r="G133" s="34">
        <v>14.1</v>
      </c>
      <c r="H133" s="34">
        <v>45.51</v>
      </c>
      <c r="I133" s="259">
        <f t="shared" si="16"/>
        <v>59.61</v>
      </c>
      <c r="J133" s="259">
        <f t="shared" si="17"/>
        <v>357.65999999999997</v>
      </c>
      <c r="K133" s="265">
        <f t="shared" si="15"/>
        <v>0.00017421654457077166</v>
      </c>
      <c r="L133" s="183"/>
    </row>
    <row r="134" spans="1:13" s="184" customFormat="1" ht="11.25">
      <c r="A134" s="13" t="s">
        <v>226</v>
      </c>
      <c r="B134" s="268" t="s">
        <v>30</v>
      </c>
      <c r="C134" s="35" t="s">
        <v>402</v>
      </c>
      <c r="D134" s="190" t="s">
        <v>391</v>
      </c>
      <c r="E134" s="122">
        <v>1</v>
      </c>
      <c r="F134" s="35" t="s">
        <v>195</v>
      </c>
      <c r="G134" s="110">
        <f>M134*0.15</f>
        <v>35.31</v>
      </c>
      <c r="H134" s="110">
        <f>M134*0.85</f>
        <v>200.09</v>
      </c>
      <c r="I134" s="259">
        <f aca="true" t="shared" si="18" ref="I134:I144">SUM(G134:H134)</f>
        <v>235.4</v>
      </c>
      <c r="J134" s="259">
        <f aca="true" t="shared" si="19" ref="J134:J144">I134*E134</f>
        <v>235.4</v>
      </c>
      <c r="K134" s="265">
        <f t="shared" si="15"/>
        <v>0.00011466357599943985</v>
      </c>
      <c r="L134" s="183"/>
      <c r="M134" s="184">
        <v>235.4</v>
      </c>
    </row>
    <row r="135" spans="1:12" s="184" customFormat="1" ht="11.25">
      <c r="A135" s="13" t="s">
        <v>227</v>
      </c>
      <c r="B135" s="268" t="s">
        <v>31</v>
      </c>
      <c r="C135" s="35" t="s">
        <v>403</v>
      </c>
      <c r="D135" s="36" t="s">
        <v>392</v>
      </c>
      <c r="E135" s="122">
        <v>1</v>
      </c>
      <c r="F135" s="35" t="s">
        <v>195</v>
      </c>
      <c r="G135" s="267">
        <v>11.28</v>
      </c>
      <c r="H135" s="258">
        <v>28.48</v>
      </c>
      <c r="I135" s="259">
        <f t="shared" si="18"/>
        <v>39.76</v>
      </c>
      <c r="J135" s="259">
        <f t="shared" si="19"/>
        <v>39.76</v>
      </c>
      <c r="K135" s="265">
        <f t="shared" si="15"/>
        <v>1.9367135861247782E-05</v>
      </c>
      <c r="L135" s="183"/>
    </row>
    <row r="136" spans="1:13" s="184" customFormat="1" ht="11.25">
      <c r="A136" s="13" t="s">
        <v>228</v>
      </c>
      <c r="B136" s="268" t="s">
        <v>30</v>
      </c>
      <c r="C136" s="35" t="s">
        <v>489</v>
      </c>
      <c r="D136" s="190" t="s">
        <v>393</v>
      </c>
      <c r="E136" s="122">
        <v>4</v>
      </c>
      <c r="F136" s="35" t="s">
        <v>195</v>
      </c>
      <c r="G136" s="110">
        <f>M136*0.15</f>
        <v>6.6105</v>
      </c>
      <c r="H136" s="110">
        <f>M136*0.85</f>
        <v>37.4595</v>
      </c>
      <c r="I136" s="259">
        <f t="shared" si="18"/>
        <v>44.07</v>
      </c>
      <c r="J136" s="259">
        <f t="shared" si="19"/>
        <v>176.28</v>
      </c>
      <c r="K136" s="265">
        <f t="shared" si="15"/>
        <v>8.586616472889233E-05</v>
      </c>
      <c r="L136" s="183"/>
      <c r="M136" s="184">
        <v>44.07</v>
      </c>
    </row>
    <row r="137" spans="1:12" s="184" customFormat="1" ht="11.25">
      <c r="A137" s="13" t="s">
        <v>229</v>
      </c>
      <c r="B137" s="268" t="s">
        <v>31</v>
      </c>
      <c r="C137" s="35" t="s">
        <v>485</v>
      </c>
      <c r="D137" s="36" t="s">
        <v>394</v>
      </c>
      <c r="E137" s="122">
        <v>1</v>
      </c>
      <c r="F137" s="35" t="s">
        <v>195</v>
      </c>
      <c r="G137" s="267">
        <v>18.32</v>
      </c>
      <c r="H137" s="258">
        <v>53.33</v>
      </c>
      <c r="I137" s="259">
        <f t="shared" si="18"/>
        <v>71.65</v>
      </c>
      <c r="J137" s="259">
        <f t="shared" si="19"/>
        <v>71.65</v>
      </c>
      <c r="K137" s="265">
        <f t="shared" si="15"/>
        <v>3.4900786832454824E-05</v>
      </c>
      <c r="L137" s="183"/>
    </row>
    <row r="138" spans="1:12" s="184" customFormat="1" ht="11.25">
      <c r="A138" s="13" t="s">
        <v>230</v>
      </c>
      <c r="B138" s="268" t="s">
        <v>31</v>
      </c>
      <c r="C138" s="35" t="s">
        <v>485</v>
      </c>
      <c r="D138" s="190" t="s">
        <v>395</v>
      </c>
      <c r="E138" s="122">
        <v>1</v>
      </c>
      <c r="F138" s="35" t="s">
        <v>195</v>
      </c>
      <c r="G138" s="34">
        <v>18.32</v>
      </c>
      <c r="H138" s="34">
        <v>53.33</v>
      </c>
      <c r="I138" s="259">
        <f t="shared" si="18"/>
        <v>71.65</v>
      </c>
      <c r="J138" s="259">
        <f t="shared" si="19"/>
        <v>71.65</v>
      </c>
      <c r="K138" s="265">
        <f t="shared" si="15"/>
        <v>3.4900786832454824E-05</v>
      </c>
      <c r="L138" s="183"/>
    </row>
    <row r="139" spans="1:12" s="184" customFormat="1" ht="11.25">
      <c r="A139" s="13" t="s">
        <v>231</v>
      </c>
      <c r="B139" s="268" t="s">
        <v>31</v>
      </c>
      <c r="C139" s="35" t="s">
        <v>485</v>
      </c>
      <c r="D139" s="190" t="s">
        <v>396</v>
      </c>
      <c r="E139" s="122">
        <v>1</v>
      </c>
      <c r="F139" s="35" t="s">
        <v>195</v>
      </c>
      <c r="G139" s="267">
        <v>18.32</v>
      </c>
      <c r="H139" s="258">
        <v>53.33</v>
      </c>
      <c r="I139" s="259">
        <f>SUM(G139:H139)</f>
        <v>71.65</v>
      </c>
      <c r="J139" s="259">
        <f>I139*E139</f>
        <v>71.65</v>
      </c>
      <c r="K139" s="265">
        <f t="shared" si="15"/>
        <v>3.4900786832454824E-05</v>
      </c>
      <c r="L139" s="183"/>
    </row>
    <row r="140" spans="1:12" s="184" customFormat="1" ht="11.25">
      <c r="A140" s="13" t="s">
        <v>232</v>
      </c>
      <c r="B140" s="268" t="s">
        <v>31</v>
      </c>
      <c r="C140" s="35" t="s">
        <v>490</v>
      </c>
      <c r="D140" s="190" t="s">
        <v>397</v>
      </c>
      <c r="E140" s="122">
        <v>2</v>
      </c>
      <c r="F140" s="35" t="s">
        <v>195</v>
      </c>
      <c r="G140" s="267">
        <v>5.64</v>
      </c>
      <c r="H140" s="258">
        <v>7.86</v>
      </c>
      <c r="I140" s="259">
        <f>SUM(G140:H140)</f>
        <v>13.5</v>
      </c>
      <c r="J140" s="259">
        <f>I140*E140</f>
        <v>27</v>
      </c>
      <c r="K140" s="265">
        <f t="shared" si="15"/>
        <v>1.3151727068754783E-05</v>
      </c>
      <c r="L140" s="183"/>
    </row>
    <row r="141" spans="1:12" s="184" customFormat="1" ht="11.25">
      <c r="A141" s="13" t="s">
        <v>233</v>
      </c>
      <c r="B141" s="268" t="s">
        <v>31</v>
      </c>
      <c r="C141" s="35" t="s">
        <v>491</v>
      </c>
      <c r="D141" s="190" t="s">
        <v>398</v>
      </c>
      <c r="E141" s="122">
        <v>1</v>
      </c>
      <c r="F141" s="35" t="s">
        <v>195</v>
      </c>
      <c r="G141" s="34">
        <v>15.78</v>
      </c>
      <c r="H141" s="34">
        <v>7.86</v>
      </c>
      <c r="I141" s="259">
        <f>SUM(G141:H141)</f>
        <v>23.64</v>
      </c>
      <c r="J141" s="259">
        <f>I141*E141</f>
        <v>23.64</v>
      </c>
      <c r="K141" s="265">
        <f t="shared" si="15"/>
        <v>1.1515067700198631E-05</v>
      </c>
      <c r="L141" s="183"/>
    </row>
    <row r="142" spans="1:12" s="184" customFormat="1" ht="11.25">
      <c r="A142" s="13" t="s">
        <v>234</v>
      </c>
      <c r="B142" s="268" t="s">
        <v>31</v>
      </c>
      <c r="C142" s="35" t="s">
        <v>484</v>
      </c>
      <c r="D142" s="190" t="s">
        <v>399</v>
      </c>
      <c r="E142" s="122">
        <v>1</v>
      </c>
      <c r="F142" s="35" t="s">
        <v>195</v>
      </c>
      <c r="G142" s="267">
        <v>18.32</v>
      </c>
      <c r="H142" s="258">
        <v>150.03</v>
      </c>
      <c r="I142" s="259">
        <f t="shared" si="18"/>
        <v>168.35</v>
      </c>
      <c r="J142" s="259">
        <f t="shared" si="19"/>
        <v>168.35</v>
      </c>
      <c r="K142" s="265">
        <f t="shared" si="15"/>
        <v>8.20034537786988E-05</v>
      </c>
      <c r="L142" s="183"/>
    </row>
    <row r="143" spans="1:13" s="184" customFormat="1" ht="11.25">
      <c r="A143" s="13" t="s">
        <v>235</v>
      </c>
      <c r="B143" s="268" t="s">
        <v>30</v>
      </c>
      <c r="C143" s="35">
        <v>85120</v>
      </c>
      <c r="D143" s="190" t="s">
        <v>400</v>
      </c>
      <c r="E143" s="122">
        <v>1</v>
      </c>
      <c r="F143" s="35" t="s">
        <v>195</v>
      </c>
      <c r="G143" s="110">
        <f>M143*0.15</f>
        <v>8.1915</v>
      </c>
      <c r="H143" s="110">
        <f>M143*0.85</f>
        <v>46.4185</v>
      </c>
      <c r="I143" s="259">
        <f t="shared" si="18"/>
        <v>54.61</v>
      </c>
      <c r="J143" s="259">
        <f t="shared" si="19"/>
        <v>54.61</v>
      </c>
      <c r="K143" s="265">
        <f t="shared" si="15"/>
        <v>2.6600585749062914E-05</v>
      </c>
      <c r="L143" s="183"/>
      <c r="M143" s="184">
        <v>54.61</v>
      </c>
    </row>
    <row r="144" spans="1:13" s="184" customFormat="1" ht="11.25">
      <c r="A144" s="13" t="s">
        <v>236</v>
      </c>
      <c r="B144" s="268" t="s">
        <v>30</v>
      </c>
      <c r="C144" s="35" t="s">
        <v>492</v>
      </c>
      <c r="D144" s="190" t="s">
        <v>401</v>
      </c>
      <c r="E144" s="122">
        <v>4</v>
      </c>
      <c r="F144" s="35" t="s">
        <v>195</v>
      </c>
      <c r="G144" s="110">
        <f>M144*0.15</f>
        <v>3.5055</v>
      </c>
      <c r="H144" s="110">
        <f>M144*0.85</f>
        <v>19.8645</v>
      </c>
      <c r="I144" s="259">
        <f t="shared" si="18"/>
        <v>23.37</v>
      </c>
      <c r="J144" s="259">
        <f t="shared" si="19"/>
        <v>93.48</v>
      </c>
      <c r="K144" s="265">
        <f t="shared" si="15"/>
        <v>4.5534201718044335E-05</v>
      </c>
      <c r="L144" s="183"/>
      <c r="M144" s="184">
        <v>23.37</v>
      </c>
    </row>
    <row r="145" spans="1:11" ht="11.25">
      <c r="A145" s="9" t="s">
        <v>404</v>
      </c>
      <c r="B145" s="269"/>
      <c r="C145" s="186"/>
      <c r="D145" s="270" t="s">
        <v>411</v>
      </c>
      <c r="E145" s="256"/>
      <c r="F145" s="35"/>
      <c r="G145" s="263"/>
      <c r="H145" s="34"/>
      <c r="I145" s="7"/>
      <c r="J145" s="19">
        <f>SUM(J146:J153)</f>
        <v>1053.03</v>
      </c>
      <c r="K145" s="272">
        <f aca="true" t="shared" si="20" ref="K145:K153">J145/$J$633</f>
        <v>0.0005129319687115129</v>
      </c>
    </row>
    <row r="146" spans="1:13" s="184" customFormat="1" ht="33.75">
      <c r="A146" s="13" t="s">
        <v>405</v>
      </c>
      <c r="B146" s="268" t="s">
        <v>30</v>
      </c>
      <c r="C146" s="35">
        <v>86936</v>
      </c>
      <c r="D146" s="36" t="s">
        <v>408</v>
      </c>
      <c r="E146" s="122">
        <v>1</v>
      </c>
      <c r="F146" s="35" t="s">
        <v>195</v>
      </c>
      <c r="G146" s="110">
        <f>M146*0.15</f>
        <v>42.552</v>
      </c>
      <c r="H146" s="110">
        <f>M146*0.85</f>
        <v>241.128</v>
      </c>
      <c r="I146" s="110">
        <f aca="true" t="shared" si="21" ref="I146:I153">SUM(G146:H146)</f>
        <v>283.68</v>
      </c>
      <c r="J146" s="110">
        <f aca="true" t="shared" si="22" ref="J146:J153">I146*E146</f>
        <v>283.68</v>
      </c>
      <c r="K146" s="265">
        <f t="shared" si="20"/>
        <v>0.00013818081240238357</v>
      </c>
      <c r="L146" s="183"/>
      <c r="M146" s="184">
        <v>283.68</v>
      </c>
    </row>
    <row r="147" spans="1:13" s="184" customFormat="1" ht="22.5">
      <c r="A147" s="13" t="s">
        <v>406</v>
      </c>
      <c r="B147" s="268" t="s">
        <v>30</v>
      </c>
      <c r="C147" s="35">
        <v>86914</v>
      </c>
      <c r="D147" s="190" t="s">
        <v>409</v>
      </c>
      <c r="E147" s="122">
        <v>1</v>
      </c>
      <c r="F147" s="35" t="s">
        <v>195</v>
      </c>
      <c r="G147" s="110">
        <f>M147*0.15</f>
        <v>5.5665</v>
      </c>
      <c r="H147" s="110">
        <f>M147*0.85</f>
        <v>31.543499999999998</v>
      </c>
      <c r="I147" s="110">
        <f t="shared" si="21"/>
        <v>37.11</v>
      </c>
      <c r="J147" s="110">
        <f t="shared" si="22"/>
        <v>37.11</v>
      </c>
      <c r="K147" s="265">
        <f t="shared" si="20"/>
        <v>1.807631820449963E-05</v>
      </c>
      <c r="L147" s="183"/>
      <c r="M147" s="184">
        <v>37.11</v>
      </c>
    </row>
    <row r="148" spans="1:13" s="184" customFormat="1" ht="22.5">
      <c r="A148" s="13" t="s">
        <v>407</v>
      </c>
      <c r="B148" s="268" t="s">
        <v>30</v>
      </c>
      <c r="C148" s="35">
        <v>86909</v>
      </c>
      <c r="D148" s="36" t="s">
        <v>410</v>
      </c>
      <c r="E148" s="122">
        <v>1</v>
      </c>
      <c r="F148" s="35" t="s">
        <v>195</v>
      </c>
      <c r="G148" s="110">
        <f>M148*0.15</f>
        <v>14.548499999999999</v>
      </c>
      <c r="H148" s="110">
        <f>M148*0.85</f>
        <v>82.44149999999999</v>
      </c>
      <c r="I148" s="110">
        <f t="shared" si="21"/>
        <v>96.99</v>
      </c>
      <c r="J148" s="110">
        <f t="shared" si="22"/>
        <v>96.99</v>
      </c>
      <c r="K148" s="265">
        <f t="shared" si="20"/>
        <v>4.724392623698245E-05</v>
      </c>
      <c r="L148" s="183"/>
      <c r="M148" s="184">
        <v>96.99</v>
      </c>
    </row>
    <row r="149" spans="1:12" s="184" customFormat="1" ht="11.25">
      <c r="A149" s="13"/>
      <c r="B149" s="268"/>
      <c r="C149" s="35"/>
      <c r="D149" s="274" t="s">
        <v>417</v>
      </c>
      <c r="E149" s="122"/>
      <c r="F149" s="15"/>
      <c r="G149" s="267"/>
      <c r="H149" s="267"/>
      <c r="I149" s="110">
        <f t="shared" si="21"/>
        <v>0</v>
      </c>
      <c r="J149" s="110">
        <f t="shared" si="22"/>
        <v>0</v>
      </c>
      <c r="K149" s="265">
        <f t="shared" si="20"/>
        <v>0</v>
      </c>
      <c r="L149" s="183"/>
    </row>
    <row r="150" spans="1:13" s="184" customFormat="1" ht="22.5">
      <c r="A150" s="13" t="s">
        <v>446</v>
      </c>
      <c r="B150" s="268" t="s">
        <v>30</v>
      </c>
      <c r="C150" s="35">
        <v>86888</v>
      </c>
      <c r="D150" s="190" t="s">
        <v>444</v>
      </c>
      <c r="E150" s="122">
        <v>1</v>
      </c>
      <c r="F150" s="35" t="s">
        <v>195</v>
      </c>
      <c r="G150" s="110">
        <f>M150*0.15</f>
        <v>49.989</v>
      </c>
      <c r="H150" s="110">
        <f>M150*0.85</f>
        <v>283.27099999999996</v>
      </c>
      <c r="I150" s="110">
        <f t="shared" si="21"/>
        <v>333.25999999999993</v>
      </c>
      <c r="J150" s="110">
        <f t="shared" si="22"/>
        <v>333.25999999999993</v>
      </c>
      <c r="K150" s="265">
        <f t="shared" si="20"/>
        <v>0.0001623312801086377</v>
      </c>
      <c r="L150" s="183"/>
      <c r="M150" s="184">
        <v>333.26</v>
      </c>
    </row>
    <row r="151" spans="1:13" s="184" customFormat="1" ht="22.5">
      <c r="A151" s="13" t="s">
        <v>447</v>
      </c>
      <c r="B151" s="268" t="s">
        <v>30</v>
      </c>
      <c r="C151" s="35">
        <v>86903</v>
      </c>
      <c r="D151" s="190" t="s">
        <v>442</v>
      </c>
      <c r="E151" s="122">
        <v>1</v>
      </c>
      <c r="F151" s="35" t="s">
        <v>195</v>
      </c>
      <c r="G151" s="110">
        <f>M151*0.15</f>
        <v>31.445999999999998</v>
      </c>
      <c r="H151" s="110">
        <f>M151*0.85</f>
        <v>178.194</v>
      </c>
      <c r="I151" s="110">
        <f t="shared" si="21"/>
        <v>209.64</v>
      </c>
      <c r="J151" s="110">
        <f t="shared" si="22"/>
        <v>209.64</v>
      </c>
      <c r="K151" s="265">
        <f t="shared" si="20"/>
        <v>0.00010211585417384268</v>
      </c>
      <c r="L151" s="183"/>
      <c r="M151" s="184">
        <v>209.64</v>
      </c>
    </row>
    <row r="152" spans="1:13" s="184" customFormat="1" ht="22.5">
      <c r="A152" s="13" t="s">
        <v>448</v>
      </c>
      <c r="B152" s="268" t="s">
        <v>30</v>
      </c>
      <c r="C152" s="35" t="s">
        <v>493</v>
      </c>
      <c r="D152" s="190" t="s">
        <v>445</v>
      </c>
      <c r="E152" s="122">
        <v>1</v>
      </c>
      <c r="F152" s="35" t="s">
        <v>195</v>
      </c>
      <c r="G152" s="110">
        <f>M152*0.15</f>
        <v>7.271999999999999</v>
      </c>
      <c r="H152" s="110">
        <f>M152*0.85</f>
        <v>41.208</v>
      </c>
      <c r="I152" s="110">
        <f t="shared" si="21"/>
        <v>48.48</v>
      </c>
      <c r="J152" s="110">
        <f t="shared" si="22"/>
        <v>48.48</v>
      </c>
      <c r="K152" s="265">
        <f t="shared" si="20"/>
        <v>2.361465660345303E-05</v>
      </c>
      <c r="L152" s="183"/>
      <c r="M152" s="184">
        <v>48.48</v>
      </c>
    </row>
    <row r="153" spans="1:12" s="184" customFormat="1" ht="11.25">
      <c r="A153" s="13" t="s">
        <v>449</v>
      </c>
      <c r="B153" s="268" t="s">
        <v>31</v>
      </c>
      <c r="C153" s="35" t="s">
        <v>450</v>
      </c>
      <c r="D153" s="190" t="s">
        <v>443</v>
      </c>
      <c r="E153" s="122">
        <v>1</v>
      </c>
      <c r="F153" s="35" t="s">
        <v>195</v>
      </c>
      <c r="G153" s="267">
        <v>9.87</v>
      </c>
      <c r="H153" s="258">
        <v>34</v>
      </c>
      <c r="I153" s="110">
        <f t="shared" si="21"/>
        <v>43.87</v>
      </c>
      <c r="J153" s="110">
        <f t="shared" si="22"/>
        <v>43.87</v>
      </c>
      <c r="K153" s="265">
        <f t="shared" si="20"/>
        <v>2.1369120981713788E-05</v>
      </c>
      <c r="L153" s="183"/>
    </row>
    <row r="154" spans="1:12" s="189" customFormat="1" ht="22.5">
      <c r="A154" s="248">
        <v>16</v>
      </c>
      <c r="B154" s="249"/>
      <c r="C154" s="249"/>
      <c r="D154" s="250" t="s">
        <v>3</v>
      </c>
      <c r="E154" s="248"/>
      <c r="F154" s="251"/>
      <c r="G154" s="46"/>
      <c r="H154" s="20"/>
      <c r="I154" s="252"/>
      <c r="J154" s="277">
        <f>J155+J457+J573</f>
        <v>664798.3852349999</v>
      </c>
      <c r="K154" s="253">
        <f>J154/J633</f>
        <v>0.3238239599392451</v>
      </c>
      <c r="L154" s="195"/>
    </row>
    <row r="155" spans="1:11" ht="11.25">
      <c r="A155" s="418" t="s">
        <v>47</v>
      </c>
      <c r="B155" s="419"/>
      <c r="C155" s="419"/>
      <c r="D155" s="420" t="s">
        <v>49</v>
      </c>
      <c r="E155" s="421"/>
      <c r="F155" s="422"/>
      <c r="G155" s="423"/>
      <c r="H155" s="423"/>
      <c r="I155" s="424"/>
      <c r="J155" s="425">
        <f>J156+J227+J283+J336+J391</f>
        <v>365428.7966</v>
      </c>
      <c r="K155" s="426">
        <f>J155/$J$633</f>
        <v>0.17800073318321133</v>
      </c>
    </row>
    <row r="156" spans="1:12" s="448" customFormat="1" ht="11.25">
      <c r="A156" s="392"/>
      <c r="B156" s="228"/>
      <c r="C156" s="129"/>
      <c r="D156" s="338" t="s">
        <v>538</v>
      </c>
      <c r="E156" s="339"/>
      <c r="F156" s="340"/>
      <c r="G156" s="341"/>
      <c r="H156" s="341"/>
      <c r="I156" s="110"/>
      <c r="J156" s="368">
        <f>SUM(J157:J226)</f>
        <v>73997.148</v>
      </c>
      <c r="K156" s="43">
        <f>J156/$J$633</f>
        <v>0.03604408497637977</v>
      </c>
      <c r="L156" s="447"/>
    </row>
    <row r="157" spans="1:12" s="428" customFormat="1" ht="11.25">
      <c r="A157" s="392"/>
      <c r="B157" s="228"/>
      <c r="C157" s="129"/>
      <c r="D157" s="338" t="s">
        <v>709</v>
      </c>
      <c r="E157" s="339"/>
      <c r="F157" s="340"/>
      <c r="G157" s="341"/>
      <c r="H157" s="341"/>
      <c r="I157" s="110"/>
      <c r="J157" s="276"/>
      <c r="K157" s="114"/>
      <c r="L157" s="427"/>
    </row>
    <row r="158" spans="1:20" s="437" customFormat="1" ht="22.5">
      <c r="A158" s="563" t="s">
        <v>717</v>
      </c>
      <c r="B158" s="348" t="s">
        <v>561</v>
      </c>
      <c r="C158" s="343">
        <v>92000</v>
      </c>
      <c r="D158" s="308" t="s">
        <v>641</v>
      </c>
      <c r="E158" s="365">
        <v>1</v>
      </c>
      <c r="F158" s="309" t="s">
        <v>556</v>
      </c>
      <c r="G158" s="110">
        <f aca="true" t="shared" si="23" ref="G158:G165">M158*0.15</f>
        <v>2.8859999999999997</v>
      </c>
      <c r="H158" s="110">
        <f aca="true" t="shared" si="24" ref="H158:H165">M158*0.85</f>
        <v>16.354</v>
      </c>
      <c r="I158" s="34">
        <f aca="true" t="shared" si="25" ref="I158:I165">G158+H158</f>
        <v>19.24</v>
      </c>
      <c r="J158" s="34">
        <f aca="true" t="shared" si="26" ref="J158:J165">I158*E158</f>
        <v>19.24</v>
      </c>
      <c r="K158" s="265">
        <f aca="true" t="shared" si="27" ref="K158:K165">J158/$J$633</f>
        <v>9.371823288994149E-06</v>
      </c>
      <c r="L158" s="431"/>
      <c r="M158" s="432">
        <v>19.24</v>
      </c>
      <c r="N158" s="433"/>
      <c r="O158" s="432"/>
      <c r="P158" s="432"/>
      <c r="Q158" s="434"/>
      <c r="R158" s="429"/>
      <c r="S158" s="435"/>
      <c r="T158" s="436"/>
    </row>
    <row r="159" spans="1:20" s="437" customFormat="1" ht="22.5">
      <c r="A159" s="563" t="s">
        <v>718</v>
      </c>
      <c r="B159" s="348" t="s">
        <v>561</v>
      </c>
      <c r="C159" s="343">
        <v>92008</v>
      </c>
      <c r="D159" s="308" t="s">
        <v>642</v>
      </c>
      <c r="E159" s="365">
        <v>6</v>
      </c>
      <c r="F159" s="309" t="s">
        <v>556</v>
      </c>
      <c r="G159" s="110">
        <f t="shared" si="23"/>
        <v>4.5375</v>
      </c>
      <c r="H159" s="110">
        <f t="shared" si="24"/>
        <v>25.7125</v>
      </c>
      <c r="I159" s="34">
        <f t="shared" si="25"/>
        <v>30.25</v>
      </c>
      <c r="J159" s="34">
        <f t="shared" si="26"/>
        <v>181.5</v>
      </c>
      <c r="K159" s="265">
        <f t="shared" si="27"/>
        <v>8.840883196218493E-05</v>
      </c>
      <c r="L159" s="431"/>
      <c r="M159" s="432">
        <v>30.25</v>
      </c>
      <c r="N159" s="433"/>
      <c r="O159" s="432"/>
      <c r="P159" s="432"/>
      <c r="Q159" s="434"/>
      <c r="R159" s="429"/>
      <c r="S159" s="435"/>
      <c r="T159" s="436"/>
    </row>
    <row r="160" spans="1:20" s="437" customFormat="1" ht="22.5">
      <c r="A160" s="563" t="s">
        <v>719</v>
      </c>
      <c r="B160" s="348" t="s">
        <v>561</v>
      </c>
      <c r="C160" s="343">
        <v>91996</v>
      </c>
      <c r="D160" s="308" t="s">
        <v>643</v>
      </c>
      <c r="E160" s="365">
        <v>17</v>
      </c>
      <c r="F160" s="309" t="s">
        <v>556</v>
      </c>
      <c r="G160" s="110">
        <f t="shared" si="23"/>
        <v>3.24</v>
      </c>
      <c r="H160" s="110">
        <f t="shared" si="24"/>
        <v>18.36</v>
      </c>
      <c r="I160" s="34">
        <f t="shared" si="25"/>
        <v>21.6</v>
      </c>
      <c r="J160" s="34">
        <f t="shared" si="26"/>
        <v>367.20000000000005</v>
      </c>
      <c r="K160" s="265">
        <f t="shared" si="27"/>
        <v>0.00017886348813506505</v>
      </c>
      <c r="L160" s="431"/>
      <c r="M160" s="432">
        <v>21.6</v>
      </c>
      <c r="N160" s="433"/>
      <c r="O160" s="432"/>
      <c r="P160" s="432"/>
      <c r="Q160" s="434"/>
      <c r="R160" s="429"/>
      <c r="S160" s="435"/>
      <c r="T160" s="436"/>
    </row>
    <row r="161" spans="1:20" s="437" customFormat="1" ht="22.5">
      <c r="A161" s="563" t="s">
        <v>720</v>
      </c>
      <c r="B161" s="348" t="s">
        <v>561</v>
      </c>
      <c r="C161" s="343">
        <v>92004</v>
      </c>
      <c r="D161" s="312" t="s">
        <v>644</v>
      </c>
      <c r="E161" s="365">
        <v>3</v>
      </c>
      <c r="F161" s="309" t="s">
        <v>556</v>
      </c>
      <c r="G161" s="110">
        <f t="shared" si="23"/>
        <v>5.242500000000001</v>
      </c>
      <c r="H161" s="110">
        <f t="shared" si="24"/>
        <v>29.707500000000003</v>
      </c>
      <c r="I161" s="34">
        <f t="shared" si="25"/>
        <v>34.95</v>
      </c>
      <c r="J161" s="34">
        <f t="shared" si="26"/>
        <v>104.85000000000001</v>
      </c>
      <c r="K161" s="265">
        <f t="shared" si="27"/>
        <v>5.107254011699774E-05</v>
      </c>
      <c r="L161" s="431"/>
      <c r="M161" s="432">
        <v>34.95</v>
      </c>
      <c r="N161" s="433"/>
      <c r="O161" s="432"/>
      <c r="P161" s="432"/>
      <c r="Q161" s="434"/>
      <c r="R161" s="429"/>
      <c r="S161" s="435"/>
      <c r="T161" s="436"/>
    </row>
    <row r="162" spans="1:20" s="437" customFormat="1" ht="22.5">
      <c r="A162" s="563" t="s">
        <v>721</v>
      </c>
      <c r="B162" s="348" t="s">
        <v>561</v>
      </c>
      <c r="C162" s="343">
        <v>92000</v>
      </c>
      <c r="D162" s="308" t="s">
        <v>645</v>
      </c>
      <c r="E162" s="365">
        <v>24</v>
      </c>
      <c r="F162" s="309" t="s">
        <v>556</v>
      </c>
      <c r="G162" s="110">
        <f t="shared" si="23"/>
        <v>2.8859999999999997</v>
      </c>
      <c r="H162" s="110">
        <f t="shared" si="24"/>
        <v>16.354</v>
      </c>
      <c r="I162" s="34">
        <f t="shared" si="25"/>
        <v>19.24</v>
      </c>
      <c r="J162" s="34">
        <f t="shared" si="26"/>
        <v>461.76</v>
      </c>
      <c r="K162" s="265">
        <f t="shared" si="27"/>
        <v>0.00022492375893585955</v>
      </c>
      <c r="L162" s="431"/>
      <c r="M162" s="432">
        <v>19.24</v>
      </c>
      <c r="N162" s="433"/>
      <c r="O162" s="432"/>
      <c r="P162" s="432"/>
      <c r="Q162" s="434"/>
      <c r="R162" s="429"/>
      <c r="S162" s="435"/>
      <c r="T162" s="436"/>
    </row>
    <row r="163" spans="1:20" s="437" customFormat="1" ht="22.5">
      <c r="A163" s="563" t="s">
        <v>722</v>
      </c>
      <c r="B163" s="348" t="s">
        <v>561</v>
      </c>
      <c r="C163" s="343">
        <v>92008</v>
      </c>
      <c r="D163" s="308" t="s">
        <v>646</v>
      </c>
      <c r="E163" s="365">
        <v>17</v>
      </c>
      <c r="F163" s="309" t="s">
        <v>556</v>
      </c>
      <c r="G163" s="110">
        <f t="shared" si="23"/>
        <v>4.5375</v>
      </c>
      <c r="H163" s="110">
        <f t="shared" si="24"/>
        <v>25.7125</v>
      </c>
      <c r="I163" s="34">
        <f t="shared" si="25"/>
        <v>30.25</v>
      </c>
      <c r="J163" s="34">
        <f t="shared" si="26"/>
        <v>514.25</v>
      </c>
      <c r="K163" s="265">
        <f t="shared" si="27"/>
        <v>0.00025049169055952394</v>
      </c>
      <c r="L163" s="431"/>
      <c r="M163" s="432">
        <v>30.25</v>
      </c>
      <c r="N163" s="433"/>
      <c r="O163" s="432"/>
      <c r="P163" s="432"/>
      <c r="Q163" s="434"/>
      <c r="R163" s="429"/>
      <c r="S163" s="435"/>
      <c r="T163" s="436"/>
    </row>
    <row r="164" spans="1:20" s="437" customFormat="1" ht="22.5">
      <c r="A164" s="563" t="s">
        <v>723</v>
      </c>
      <c r="B164" s="348" t="s">
        <v>561</v>
      </c>
      <c r="C164" s="343">
        <v>91996</v>
      </c>
      <c r="D164" s="308" t="s">
        <v>647</v>
      </c>
      <c r="E164" s="365">
        <v>1</v>
      </c>
      <c r="F164" s="309" t="s">
        <v>556</v>
      </c>
      <c r="G164" s="110">
        <f t="shared" si="23"/>
        <v>3.24</v>
      </c>
      <c r="H164" s="110">
        <f t="shared" si="24"/>
        <v>18.36</v>
      </c>
      <c r="I164" s="34">
        <f t="shared" si="25"/>
        <v>21.6</v>
      </c>
      <c r="J164" s="34">
        <f t="shared" si="26"/>
        <v>21.6</v>
      </c>
      <c r="K164" s="265">
        <f t="shared" si="27"/>
        <v>1.0521381655003826E-05</v>
      </c>
      <c r="L164" s="431"/>
      <c r="M164" s="432">
        <v>21.6</v>
      </c>
      <c r="N164" s="433"/>
      <c r="O164" s="432"/>
      <c r="P164" s="432"/>
      <c r="Q164" s="434"/>
      <c r="R164" s="429"/>
      <c r="S164" s="435"/>
      <c r="T164" s="436"/>
    </row>
    <row r="165" spans="1:20" s="437" customFormat="1" ht="11.25">
      <c r="A165" s="563" t="s">
        <v>724</v>
      </c>
      <c r="B165" s="348" t="s">
        <v>561</v>
      </c>
      <c r="C165" s="343">
        <v>91992</v>
      </c>
      <c r="D165" s="308" t="s">
        <v>648</v>
      </c>
      <c r="E165" s="397">
        <v>4</v>
      </c>
      <c r="F165" s="313" t="s">
        <v>556</v>
      </c>
      <c r="G165" s="110">
        <f t="shared" si="23"/>
        <v>4.149</v>
      </c>
      <c r="H165" s="110">
        <f t="shared" si="24"/>
        <v>23.511</v>
      </c>
      <c r="I165" s="34">
        <f t="shared" si="25"/>
        <v>27.66</v>
      </c>
      <c r="J165" s="34">
        <f t="shared" si="26"/>
        <v>110.64</v>
      </c>
      <c r="K165" s="265">
        <f t="shared" si="27"/>
        <v>5.389285492174182E-05</v>
      </c>
      <c r="L165" s="431"/>
      <c r="M165" s="432">
        <v>27.66</v>
      </c>
      <c r="N165" s="433"/>
      <c r="O165" s="432"/>
      <c r="P165" s="432"/>
      <c r="Q165" s="434"/>
      <c r="R165" s="429"/>
      <c r="S165" s="435"/>
      <c r="T165" s="436"/>
    </row>
    <row r="166" spans="1:20" s="437" customFormat="1" ht="11.25">
      <c r="A166" s="392"/>
      <c r="B166" s="348"/>
      <c r="C166" s="444"/>
      <c r="D166" s="332" t="s">
        <v>649</v>
      </c>
      <c r="E166" s="398"/>
      <c r="F166" s="333"/>
      <c r="G166" s="334"/>
      <c r="H166" s="334"/>
      <c r="I166" s="320"/>
      <c r="J166" s="320"/>
      <c r="K166" s="265">
        <f aca="true" t="shared" si="28" ref="K166:K221">J166/$J$633</f>
        <v>0</v>
      </c>
      <c r="L166" s="431"/>
      <c r="M166" s="432"/>
      <c r="N166" s="433"/>
      <c r="O166" s="432"/>
      <c r="P166" s="432"/>
      <c r="Q166" s="434"/>
      <c r="R166" s="429"/>
      <c r="S166" s="435"/>
      <c r="T166" s="436"/>
    </row>
    <row r="167" spans="1:20" s="437" customFormat="1" ht="56.25">
      <c r="A167" s="563" t="s">
        <v>725</v>
      </c>
      <c r="B167" s="289" t="s">
        <v>710</v>
      </c>
      <c r="C167" s="289"/>
      <c r="D167" s="33" t="s">
        <v>650</v>
      </c>
      <c r="E167" s="397">
        <v>4</v>
      </c>
      <c r="F167" s="314" t="s">
        <v>556</v>
      </c>
      <c r="G167" s="315">
        <f>I167*0.15</f>
        <v>795</v>
      </c>
      <c r="H167" s="315">
        <f>I167*0.85</f>
        <v>4505</v>
      </c>
      <c r="I167" s="34">
        <v>5300</v>
      </c>
      <c r="J167" s="34">
        <f aca="true" t="shared" si="29" ref="J167:J174">I167*E167</f>
        <v>21200</v>
      </c>
      <c r="K167" s="265">
        <f t="shared" si="28"/>
        <v>0.010326541253985237</v>
      </c>
      <c r="L167" s="431"/>
      <c r="M167" s="432"/>
      <c r="N167" s="433"/>
      <c r="O167" s="432"/>
      <c r="P167" s="432"/>
      <c r="Q167" s="434"/>
      <c r="R167" s="429"/>
      <c r="S167" s="435"/>
      <c r="T167" s="436"/>
    </row>
    <row r="168" spans="1:20" s="437" customFormat="1" ht="11.25">
      <c r="A168" s="563" t="s">
        <v>726</v>
      </c>
      <c r="B168" s="289" t="s">
        <v>561</v>
      </c>
      <c r="C168" s="269" t="s">
        <v>632</v>
      </c>
      <c r="D168" s="316" t="s">
        <v>630</v>
      </c>
      <c r="E168" s="397">
        <v>100</v>
      </c>
      <c r="F168" s="317" t="s">
        <v>556</v>
      </c>
      <c r="G168" s="110">
        <f>M168*0.15</f>
        <v>2.2784999999999997</v>
      </c>
      <c r="H168" s="110">
        <f>M168*0.85</f>
        <v>12.911499999999998</v>
      </c>
      <c r="I168" s="34">
        <f aca="true" t="shared" si="30" ref="I168:I174">G168+H168</f>
        <v>15.189999999999998</v>
      </c>
      <c r="J168" s="34">
        <f t="shared" si="29"/>
        <v>1518.9999999999998</v>
      </c>
      <c r="K168" s="265">
        <f t="shared" si="28"/>
        <v>0.000739906422868093</v>
      </c>
      <c r="L168" s="431"/>
      <c r="M168" s="432">
        <v>15.19</v>
      </c>
      <c r="N168" s="433"/>
      <c r="O168" s="432"/>
      <c r="P168" s="432"/>
      <c r="Q168" s="434"/>
      <c r="R168" s="429"/>
      <c r="S168" s="435"/>
      <c r="T168" s="436"/>
    </row>
    <row r="169" spans="1:20" s="437" customFormat="1" ht="11.25">
      <c r="A169" s="563" t="s">
        <v>727</v>
      </c>
      <c r="B169" s="289" t="s">
        <v>561</v>
      </c>
      <c r="C169" s="269" t="s">
        <v>633</v>
      </c>
      <c r="D169" s="316" t="s">
        <v>631</v>
      </c>
      <c r="E169" s="397">
        <v>125</v>
      </c>
      <c r="F169" s="317" t="s">
        <v>556</v>
      </c>
      <c r="G169" s="110">
        <f>M169*0.15</f>
        <v>1.6424999999999998</v>
      </c>
      <c r="H169" s="110">
        <f>M169*0.85</f>
        <v>9.3075</v>
      </c>
      <c r="I169" s="34">
        <f t="shared" si="30"/>
        <v>10.95</v>
      </c>
      <c r="J169" s="34">
        <f t="shared" si="29"/>
        <v>1368.75</v>
      </c>
      <c r="K169" s="265">
        <f t="shared" si="28"/>
        <v>0.0006667194972354855</v>
      </c>
      <c r="L169" s="431"/>
      <c r="M169" s="432">
        <v>10.95</v>
      </c>
      <c r="N169" s="433"/>
      <c r="O169" s="432"/>
      <c r="P169" s="432"/>
      <c r="Q169" s="434"/>
      <c r="R169" s="429"/>
      <c r="S169" s="435"/>
      <c r="T169" s="436"/>
    </row>
    <row r="170" spans="1:20" s="437" customFormat="1" ht="22.5">
      <c r="A170" s="563" t="s">
        <v>728</v>
      </c>
      <c r="B170" s="289" t="s">
        <v>561</v>
      </c>
      <c r="C170" s="343">
        <v>91936</v>
      </c>
      <c r="D170" s="308" t="s">
        <v>651</v>
      </c>
      <c r="E170" s="365">
        <v>137</v>
      </c>
      <c r="F170" s="309" t="s">
        <v>556</v>
      </c>
      <c r="G170" s="110">
        <f>M170*0.15</f>
        <v>1.2495</v>
      </c>
      <c r="H170" s="110">
        <f>M170*0.85</f>
        <v>7.0805</v>
      </c>
      <c r="I170" s="34">
        <f t="shared" si="30"/>
        <v>8.33</v>
      </c>
      <c r="J170" s="34">
        <f t="shared" si="29"/>
        <v>1141.21</v>
      </c>
      <c r="K170" s="265">
        <f t="shared" si="28"/>
        <v>0.0005558845351160609</v>
      </c>
      <c r="L170" s="431"/>
      <c r="M170" s="432">
        <v>8.33</v>
      </c>
      <c r="N170" s="433"/>
      <c r="O170" s="432"/>
      <c r="P170" s="432"/>
      <c r="Q170" s="434"/>
      <c r="R170" s="429"/>
      <c r="S170" s="435"/>
      <c r="T170" s="436"/>
    </row>
    <row r="171" spans="1:20" s="437" customFormat="1" ht="22.5">
      <c r="A171" s="563" t="s">
        <v>729</v>
      </c>
      <c r="B171" s="348" t="s">
        <v>561</v>
      </c>
      <c r="C171" s="284">
        <v>91940</v>
      </c>
      <c r="D171" s="318" t="s">
        <v>652</v>
      </c>
      <c r="E171" s="399">
        <v>42</v>
      </c>
      <c r="F171" s="319" t="s">
        <v>556</v>
      </c>
      <c r="G171" s="110">
        <f>M171*0.15</f>
        <v>1.44</v>
      </c>
      <c r="H171" s="110">
        <f>M171*0.85</f>
        <v>8.16</v>
      </c>
      <c r="I171" s="34">
        <f t="shared" si="30"/>
        <v>9.6</v>
      </c>
      <c r="J171" s="34">
        <f t="shared" si="29"/>
        <v>403.2</v>
      </c>
      <c r="K171" s="265">
        <f t="shared" si="28"/>
        <v>0.00019639912422673807</v>
      </c>
      <c r="L171" s="431"/>
      <c r="M171" s="432">
        <v>9.6</v>
      </c>
      <c r="N171" s="433"/>
      <c r="O171" s="432"/>
      <c r="P171" s="432"/>
      <c r="Q171" s="434"/>
      <c r="R171" s="429"/>
      <c r="S171" s="435"/>
      <c r="T171" s="436"/>
    </row>
    <row r="172" spans="1:20" s="437" customFormat="1" ht="22.5">
      <c r="A172" s="563" t="s">
        <v>730</v>
      </c>
      <c r="B172" s="348" t="s">
        <v>561</v>
      </c>
      <c r="C172" s="284">
        <v>91941</v>
      </c>
      <c r="D172" s="318" t="s">
        <v>653</v>
      </c>
      <c r="E172" s="399">
        <v>7</v>
      </c>
      <c r="F172" s="319" t="s">
        <v>556</v>
      </c>
      <c r="G172" s="110">
        <f>M172*0.15</f>
        <v>0.9464999999999999</v>
      </c>
      <c r="H172" s="110">
        <f>M172*0.85</f>
        <v>5.363499999999999</v>
      </c>
      <c r="I172" s="34">
        <f t="shared" si="30"/>
        <v>6.309999999999999</v>
      </c>
      <c r="J172" s="34">
        <f t="shared" si="29"/>
        <v>44.16999999999999</v>
      </c>
      <c r="K172" s="265">
        <f t="shared" si="28"/>
        <v>2.1515251282477725E-05</v>
      </c>
      <c r="L172" s="431"/>
      <c r="M172" s="432">
        <v>6.31</v>
      </c>
      <c r="N172" s="433"/>
      <c r="O172" s="432"/>
      <c r="P172" s="432"/>
      <c r="Q172" s="434"/>
      <c r="R172" s="429"/>
      <c r="S172" s="435"/>
      <c r="T172" s="436"/>
    </row>
    <row r="173" spans="1:20" s="437" customFormat="1" ht="11.25">
      <c r="A173" s="563" t="s">
        <v>731</v>
      </c>
      <c r="B173" s="348" t="s">
        <v>560</v>
      </c>
      <c r="C173" s="284">
        <v>70646</v>
      </c>
      <c r="D173" s="285" t="s">
        <v>654</v>
      </c>
      <c r="E173" s="400">
        <v>7</v>
      </c>
      <c r="F173" s="319" t="s">
        <v>556</v>
      </c>
      <c r="G173" s="310">
        <v>35.24</v>
      </c>
      <c r="H173" s="310">
        <v>14.1</v>
      </c>
      <c r="I173" s="320">
        <f t="shared" si="30"/>
        <v>49.34</v>
      </c>
      <c r="J173" s="311">
        <f t="shared" si="29"/>
        <v>345.38</v>
      </c>
      <c r="K173" s="265">
        <f t="shared" si="28"/>
        <v>0.00016823494425950098</v>
      </c>
      <c r="L173" s="431"/>
      <c r="M173" s="432"/>
      <c r="N173" s="433"/>
      <c r="O173" s="432"/>
      <c r="P173" s="432"/>
      <c r="Q173" s="434"/>
      <c r="R173" s="429"/>
      <c r="S173" s="435"/>
      <c r="T173" s="436"/>
    </row>
    <row r="174" spans="1:20" s="437" customFormat="1" ht="11.25">
      <c r="A174" s="563" t="s">
        <v>732</v>
      </c>
      <c r="B174" s="348" t="s">
        <v>560</v>
      </c>
      <c r="C174" s="284">
        <v>70647</v>
      </c>
      <c r="D174" s="285" t="s">
        <v>655</v>
      </c>
      <c r="E174" s="400">
        <v>2</v>
      </c>
      <c r="F174" s="319" t="s">
        <v>556</v>
      </c>
      <c r="G174" s="310">
        <v>42.29</v>
      </c>
      <c r="H174" s="310">
        <v>24.04</v>
      </c>
      <c r="I174" s="320">
        <f t="shared" si="30"/>
        <v>66.33</v>
      </c>
      <c r="J174" s="311">
        <f t="shared" si="29"/>
        <v>132.66</v>
      </c>
      <c r="K174" s="265">
        <f t="shared" si="28"/>
        <v>6.461881899781516E-05</v>
      </c>
      <c r="L174" s="431"/>
      <c r="M174" s="432"/>
      <c r="N174" s="433"/>
      <c r="O174" s="432"/>
      <c r="P174" s="432"/>
      <c r="Q174" s="434"/>
      <c r="R174" s="429"/>
      <c r="S174" s="435"/>
      <c r="T174" s="436"/>
    </row>
    <row r="175" spans="1:20" s="437" customFormat="1" ht="11.25">
      <c r="A175" s="392"/>
      <c r="B175" s="348"/>
      <c r="C175" s="444"/>
      <c r="D175" s="332" t="s">
        <v>656</v>
      </c>
      <c r="E175" s="398"/>
      <c r="F175" s="333"/>
      <c r="G175" s="334"/>
      <c r="H175" s="334"/>
      <c r="I175" s="320"/>
      <c r="J175" s="320"/>
      <c r="K175" s="265">
        <f t="shared" si="28"/>
        <v>0</v>
      </c>
      <c r="L175" s="431"/>
      <c r="M175" s="432"/>
      <c r="N175" s="433"/>
      <c r="O175" s="432"/>
      <c r="P175" s="432"/>
      <c r="Q175" s="434"/>
      <c r="R175" s="429"/>
      <c r="S175" s="435"/>
      <c r="T175" s="436"/>
    </row>
    <row r="176" spans="1:20" s="437" customFormat="1" ht="22.5">
      <c r="A176" s="564" t="s">
        <v>733</v>
      </c>
      <c r="B176" s="228" t="s">
        <v>561</v>
      </c>
      <c r="C176" s="347">
        <v>91834</v>
      </c>
      <c r="D176" s="316" t="s">
        <v>657</v>
      </c>
      <c r="E176" s="397">
        <v>300</v>
      </c>
      <c r="F176" s="18" t="s">
        <v>194</v>
      </c>
      <c r="G176" s="110">
        <f>M176*0.15</f>
        <v>0.49799999999999994</v>
      </c>
      <c r="H176" s="110">
        <f>M176*0.85</f>
        <v>2.8219999999999996</v>
      </c>
      <c r="I176" s="34">
        <f>G176+H176</f>
        <v>3.3199999999999994</v>
      </c>
      <c r="J176" s="34">
        <f>I176*E176</f>
        <v>995.9999999999998</v>
      </c>
      <c r="K176" s="265">
        <f t="shared" si="28"/>
        <v>0.0004851525985362874</v>
      </c>
      <c r="L176" s="431"/>
      <c r="M176" s="432">
        <v>3.32</v>
      </c>
      <c r="N176" s="433"/>
      <c r="O176" s="432"/>
      <c r="P176" s="432"/>
      <c r="Q176" s="434"/>
      <c r="R176" s="429"/>
      <c r="S176" s="435"/>
      <c r="T176" s="436"/>
    </row>
    <row r="177" spans="1:20" s="437" customFormat="1" ht="22.5">
      <c r="A177" s="564" t="s">
        <v>734</v>
      </c>
      <c r="B177" s="228" t="s">
        <v>561</v>
      </c>
      <c r="C177" s="347">
        <v>91871</v>
      </c>
      <c r="D177" s="316" t="s">
        <v>658</v>
      </c>
      <c r="E177" s="397">
        <v>700</v>
      </c>
      <c r="F177" s="18" t="s">
        <v>194</v>
      </c>
      <c r="G177" s="110">
        <f>M177*0.15</f>
        <v>1.1024999999999998</v>
      </c>
      <c r="H177" s="110">
        <f>M177*0.85</f>
        <v>6.2475</v>
      </c>
      <c r="I177" s="34">
        <f>G177+H177</f>
        <v>7.35</v>
      </c>
      <c r="J177" s="34">
        <f>I177*E177</f>
        <v>5145</v>
      </c>
      <c r="K177" s="265">
        <f t="shared" si="28"/>
        <v>0.002506134658101606</v>
      </c>
      <c r="L177" s="431"/>
      <c r="M177" s="432">
        <v>7.35</v>
      </c>
      <c r="N177" s="433"/>
      <c r="O177" s="432"/>
      <c r="P177" s="432"/>
      <c r="Q177" s="434"/>
      <c r="R177" s="429"/>
      <c r="S177" s="435"/>
      <c r="T177" s="436"/>
    </row>
    <row r="178" spans="1:20" s="437" customFormat="1" ht="11.25">
      <c r="A178" s="564" t="s">
        <v>735</v>
      </c>
      <c r="B178" s="228" t="s">
        <v>561</v>
      </c>
      <c r="C178" s="347">
        <v>93008</v>
      </c>
      <c r="D178" s="322" t="s">
        <v>659</v>
      </c>
      <c r="E178" s="401">
        <v>30</v>
      </c>
      <c r="F178" s="323" t="s">
        <v>194</v>
      </c>
      <c r="G178" s="110">
        <f>M178*0.15</f>
        <v>1.236</v>
      </c>
      <c r="H178" s="110">
        <f>M178*0.85</f>
        <v>7.004</v>
      </c>
      <c r="I178" s="34">
        <f>G178+H178</f>
        <v>8.24</v>
      </c>
      <c r="J178" s="34">
        <f>I178*E178</f>
        <v>247.20000000000002</v>
      </c>
      <c r="K178" s="265">
        <f t="shared" si="28"/>
        <v>0.00012041136782948823</v>
      </c>
      <c r="L178" s="431"/>
      <c r="M178" s="432">
        <v>8.24</v>
      </c>
      <c r="N178" s="433"/>
      <c r="O178" s="432"/>
      <c r="P178" s="432"/>
      <c r="Q178" s="434"/>
      <c r="R178" s="429"/>
      <c r="S178" s="435"/>
      <c r="T178" s="436"/>
    </row>
    <row r="179" spans="1:20" s="437" customFormat="1" ht="11.25">
      <c r="A179" s="564" t="s">
        <v>736</v>
      </c>
      <c r="B179" s="348" t="s">
        <v>560</v>
      </c>
      <c r="C179" s="348">
        <v>71208</v>
      </c>
      <c r="D179" s="322" t="s">
        <v>660</v>
      </c>
      <c r="E179" s="401">
        <v>30</v>
      </c>
      <c r="F179" s="323" t="s">
        <v>194</v>
      </c>
      <c r="G179" s="310">
        <v>28.19</v>
      </c>
      <c r="H179" s="310">
        <v>24.96</v>
      </c>
      <c r="I179" s="320">
        <f>G179+H179</f>
        <v>53.150000000000006</v>
      </c>
      <c r="J179" s="320">
        <f aca="true" t="shared" si="31" ref="J179:J184">I179*E179</f>
        <v>1594.5000000000002</v>
      </c>
      <c r="K179" s="265">
        <f t="shared" si="28"/>
        <v>0.000776682548560352</v>
      </c>
      <c r="L179" s="431"/>
      <c r="M179" s="432"/>
      <c r="N179" s="433"/>
      <c r="O179" s="432"/>
      <c r="P179" s="432"/>
      <c r="Q179" s="434"/>
      <c r="R179" s="429"/>
      <c r="S179" s="435"/>
      <c r="T179" s="436"/>
    </row>
    <row r="180" spans="1:20" s="437" customFormat="1" ht="11.25">
      <c r="A180" s="564" t="s">
        <v>737</v>
      </c>
      <c r="B180" s="522" t="s">
        <v>710</v>
      </c>
      <c r="C180" s="522"/>
      <c r="D180" s="322" t="s">
        <v>661</v>
      </c>
      <c r="E180" s="401">
        <v>5</v>
      </c>
      <c r="F180" s="323" t="s">
        <v>662</v>
      </c>
      <c r="G180" s="310">
        <f>0.3*I180</f>
        <v>36</v>
      </c>
      <c r="H180" s="310">
        <f>0.7*I180</f>
        <v>84</v>
      </c>
      <c r="I180" s="320">
        <v>120</v>
      </c>
      <c r="J180" s="320">
        <f t="shared" si="31"/>
        <v>600</v>
      </c>
      <c r="K180" s="265">
        <f t="shared" si="28"/>
        <v>0.00029226060152788406</v>
      </c>
      <c r="L180" s="431"/>
      <c r="M180" s="432"/>
      <c r="N180" s="433"/>
      <c r="O180" s="432"/>
      <c r="P180" s="432"/>
      <c r="Q180" s="434"/>
      <c r="R180" s="429"/>
      <c r="S180" s="435"/>
      <c r="T180" s="436"/>
    </row>
    <row r="181" spans="1:20" s="437" customFormat="1" ht="11.25">
      <c r="A181" s="564" t="s">
        <v>738</v>
      </c>
      <c r="B181" s="522" t="s">
        <v>710</v>
      </c>
      <c r="C181" s="522"/>
      <c r="D181" s="316" t="s">
        <v>663</v>
      </c>
      <c r="E181" s="397">
        <v>2</v>
      </c>
      <c r="F181" s="314" t="s">
        <v>556</v>
      </c>
      <c r="G181" s="310">
        <f>(I181*0.3)</f>
        <v>6.273</v>
      </c>
      <c r="H181" s="310">
        <f>(I181*0.7)</f>
        <v>14.636999999999999</v>
      </c>
      <c r="I181" s="34">
        <v>20.91</v>
      </c>
      <c r="J181" s="34">
        <f t="shared" si="31"/>
        <v>41.82</v>
      </c>
      <c r="K181" s="265">
        <f t="shared" si="28"/>
        <v>2.0370563926493518E-05</v>
      </c>
      <c r="L181" s="431"/>
      <c r="M181" s="432"/>
      <c r="N181" s="433"/>
      <c r="O181" s="432"/>
      <c r="P181" s="432"/>
      <c r="Q181" s="434"/>
      <c r="R181" s="429"/>
      <c r="S181" s="435"/>
      <c r="T181" s="436"/>
    </row>
    <row r="182" spans="1:20" s="437" customFormat="1" ht="11.25">
      <c r="A182" s="564" t="s">
        <v>739</v>
      </c>
      <c r="B182" s="522" t="s">
        <v>710</v>
      </c>
      <c r="C182" s="522"/>
      <c r="D182" s="316" t="s">
        <v>664</v>
      </c>
      <c r="E182" s="397">
        <v>20</v>
      </c>
      <c r="F182" s="314" t="s">
        <v>556</v>
      </c>
      <c r="G182" s="310">
        <f>(I182*0.3)</f>
        <v>6.273</v>
      </c>
      <c r="H182" s="310">
        <f>(I182*0.7)</f>
        <v>14.636999999999999</v>
      </c>
      <c r="I182" s="34">
        <v>20.91</v>
      </c>
      <c r="J182" s="34">
        <f t="shared" si="31"/>
        <v>418.2</v>
      </c>
      <c r="K182" s="265">
        <f t="shared" si="28"/>
        <v>0.0002037056392649352</v>
      </c>
      <c r="L182" s="431"/>
      <c r="M182" s="432"/>
      <c r="N182" s="433"/>
      <c r="O182" s="432"/>
      <c r="P182" s="432"/>
      <c r="Q182" s="434"/>
      <c r="R182" s="429"/>
      <c r="S182" s="435"/>
      <c r="T182" s="436"/>
    </row>
    <row r="183" spans="1:20" s="437" customFormat="1" ht="11.25">
      <c r="A183" s="564" t="s">
        <v>740</v>
      </c>
      <c r="B183" s="522" t="s">
        <v>710</v>
      </c>
      <c r="C183" s="522"/>
      <c r="D183" s="316" t="s">
        <v>665</v>
      </c>
      <c r="E183" s="397">
        <v>6</v>
      </c>
      <c r="F183" s="314" t="s">
        <v>556</v>
      </c>
      <c r="G183" s="310">
        <f>(I183*0.3)</f>
        <v>5.64</v>
      </c>
      <c r="H183" s="310">
        <f>(I183*0.7)</f>
        <v>13.16</v>
      </c>
      <c r="I183" s="34">
        <v>18.8</v>
      </c>
      <c r="J183" s="34">
        <f t="shared" si="31"/>
        <v>112.80000000000001</v>
      </c>
      <c r="K183" s="265">
        <f t="shared" si="28"/>
        <v>5.494499308724221E-05</v>
      </c>
      <c r="L183" s="431"/>
      <c r="M183" s="432"/>
      <c r="N183" s="433"/>
      <c r="O183" s="432"/>
      <c r="P183" s="432"/>
      <c r="Q183" s="434"/>
      <c r="R183" s="429"/>
      <c r="S183" s="435"/>
      <c r="T183" s="436"/>
    </row>
    <row r="184" spans="1:20" s="437" customFormat="1" ht="11.25">
      <c r="A184" s="564" t="s">
        <v>741</v>
      </c>
      <c r="B184" s="522" t="s">
        <v>710</v>
      </c>
      <c r="C184" s="522"/>
      <c r="D184" s="316" t="s">
        <v>666</v>
      </c>
      <c r="E184" s="402">
        <v>150</v>
      </c>
      <c r="F184" s="18" t="s">
        <v>556</v>
      </c>
      <c r="G184" s="310">
        <v>0.54</v>
      </c>
      <c r="H184" s="310">
        <v>1.84</v>
      </c>
      <c r="I184" s="34">
        <f>H184+G184</f>
        <v>2.38</v>
      </c>
      <c r="J184" s="34">
        <f t="shared" si="31"/>
        <v>357</v>
      </c>
      <c r="K184" s="265">
        <f t="shared" si="28"/>
        <v>0.00017389505790909102</v>
      </c>
      <c r="L184" s="431"/>
      <c r="M184" s="432"/>
      <c r="N184" s="433"/>
      <c r="O184" s="432"/>
      <c r="P184" s="432"/>
      <c r="Q184" s="434"/>
      <c r="R184" s="429"/>
      <c r="S184" s="435"/>
      <c r="T184" s="436"/>
    </row>
    <row r="185" spans="1:20" s="437" customFormat="1" ht="11.25">
      <c r="A185" s="445"/>
      <c r="B185" s="348"/>
      <c r="C185" s="444"/>
      <c r="D185" s="332" t="s">
        <v>667</v>
      </c>
      <c r="E185" s="403"/>
      <c r="F185" s="336"/>
      <c r="G185" s="335"/>
      <c r="H185" s="335"/>
      <c r="I185" s="335"/>
      <c r="J185" s="335"/>
      <c r="K185" s="265">
        <f t="shared" si="28"/>
        <v>0</v>
      </c>
      <c r="L185" s="431"/>
      <c r="M185" s="432"/>
      <c r="N185" s="433"/>
      <c r="O185" s="432"/>
      <c r="P185" s="432"/>
      <c r="Q185" s="434"/>
      <c r="R185" s="429"/>
      <c r="S185" s="435"/>
      <c r="T185" s="436"/>
    </row>
    <row r="186" spans="1:20" s="437" customFormat="1" ht="11.25">
      <c r="A186" s="564" t="s">
        <v>742</v>
      </c>
      <c r="B186" s="348" t="s">
        <v>561</v>
      </c>
      <c r="C186" s="349" t="s">
        <v>711</v>
      </c>
      <c r="D186" s="324" t="s">
        <v>668</v>
      </c>
      <c r="E186" s="365">
        <v>52</v>
      </c>
      <c r="F186" s="325" t="s">
        <v>556</v>
      </c>
      <c r="G186" s="110">
        <f aca="true" t="shared" si="32" ref="G186:G194">M186*0.15</f>
        <v>1.7205000000000001</v>
      </c>
      <c r="H186" s="110">
        <f aca="true" t="shared" si="33" ref="H186:H194">M186*0.85</f>
        <v>9.749500000000001</v>
      </c>
      <c r="I186" s="34">
        <f aca="true" t="shared" si="34" ref="I186:I194">G186+H186</f>
        <v>11.47</v>
      </c>
      <c r="J186" s="34">
        <f aca="true" t="shared" si="35" ref="J186:J194">I186*E186</f>
        <v>596.44</v>
      </c>
      <c r="K186" s="265">
        <f t="shared" si="28"/>
        <v>0.00029052652195881866</v>
      </c>
      <c r="L186" s="431"/>
      <c r="M186" s="432">
        <v>11.47</v>
      </c>
      <c r="N186" s="433"/>
      <c r="O186" s="432"/>
      <c r="P186" s="432"/>
      <c r="Q186" s="434"/>
      <c r="R186" s="429"/>
      <c r="S186" s="435"/>
      <c r="T186" s="436"/>
    </row>
    <row r="187" spans="1:20" s="437" customFormat="1" ht="11.25">
      <c r="A187" s="564" t="s">
        <v>743</v>
      </c>
      <c r="B187" s="348" t="s">
        <v>561</v>
      </c>
      <c r="C187" s="349" t="s">
        <v>711</v>
      </c>
      <c r="D187" s="324" t="s">
        <v>669</v>
      </c>
      <c r="E187" s="365">
        <v>5</v>
      </c>
      <c r="F187" s="325" t="s">
        <v>556</v>
      </c>
      <c r="G187" s="110">
        <f t="shared" si="32"/>
        <v>1.7205000000000001</v>
      </c>
      <c r="H187" s="110">
        <f t="shared" si="33"/>
        <v>9.749500000000001</v>
      </c>
      <c r="I187" s="34">
        <f t="shared" si="34"/>
        <v>11.47</v>
      </c>
      <c r="J187" s="34">
        <f t="shared" si="35"/>
        <v>57.35</v>
      </c>
      <c r="K187" s="265">
        <f t="shared" si="28"/>
        <v>2.7935242496040252E-05</v>
      </c>
      <c r="L187" s="431"/>
      <c r="M187" s="432">
        <v>11.47</v>
      </c>
      <c r="N187" s="433"/>
      <c r="O187" s="432"/>
      <c r="P187" s="432"/>
      <c r="Q187" s="434"/>
      <c r="R187" s="429"/>
      <c r="S187" s="435"/>
      <c r="T187" s="436"/>
    </row>
    <row r="188" spans="1:20" s="437" customFormat="1" ht="11.25">
      <c r="A188" s="564" t="s">
        <v>744</v>
      </c>
      <c r="B188" s="348" t="s">
        <v>561</v>
      </c>
      <c r="C188" s="349" t="s">
        <v>712</v>
      </c>
      <c r="D188" s="324" t="s">
        <v>670</v>
      </c>
      <c r="E188" s="365">
        <v>2</v>
      </c>
      <c r="F188" s="325" t="s">
        <v>556</v>
      </c>
      <c r="G188" s="110">
        <f t="shared" si="32"/>
        <v>2.67</v>
      </c>
      <c r="H188" s="110">
        <f t="shared" si="33"/>
        <v>15.13</v>
      </c>
      <c r="I188" s="34">
        <f t="shared" si="34"/>
        <v>17.8</v>
      </c>
      <c r="J188" s="34">
        <f t="shared" si="35"/>
        <v>35.6</v>
      </c>
      <c r="K188" s="265">
        <f t="shared" si="28"/>
        <v>1.7340795690654454E-05</v>
      </c>
      <c r="L188" s="431"/>
      <c r="M188" s="432">
        <v>17.8</v>
      </c>
      <c r="N188" s="433"/>
      <c r="O188" s="432"/>
      <c r="P188" s="432"/>
      <c r="Q188" s="434"/>
      <c r="R188" s="429"/>
      <c r="S188" s="435"/>
      <c r="T188" s="436"/>
    </row>
    <row r="189" spans="1:20" s="437" customFormat="1" ht="11.25">
      <c r="A189" s="564" t="s">
        <v>745</v>
      </c>
      <c r="B189" s="348" t="s">
        <v>561</v>
      </c>
      <c r="C189" s="349" t="s">
        <v>713</v>
      </c>
      <c r="D189" s="326" t="s">
        <v>671</v>
      </c>
      <c r="E189" s="365">
        <v>3</v>
      </c>
      <c r="F189" s="325" t="s">
        <v>556</v>
      </c>
      <c r="G189" s="110">
        <f t="shared" si="32"/>
        <v>11.3295</v>
      </c>
      <c r="H189" s="110">
        <f t="shared" si="33"/>
        <v>64.2005</v>
      </c>
      <c r="I189" s="34">
        <f t="shared" si="34"/>
        <v>75.53</v>
      </c>
      <c r="J189" s="34">
        <f t="shared" si="35"/>
        <v>226.59</v>
      </c>
      <c r="K189" s="265">
        <f t="shared" si="28"/>
        <v>0.00011037221616700542</v>
      </c>
      <c r="L189" s="431"/>
      <c r="M189" s="432">
        <v>75.53</v>
      </c>
      <c r="N189" s="433"/>
      <c r="O189" s="432"/>
      <c r="P189" s="432"/>
      <c r="Q189" s="434"/>
      <c r="R189" s="429"/>
      <c r="S189" s="435"/>
      <c r="T189" s="436"/>
    </row>
    <row r="190" spans="1:20" s="437" customFormat="1" ht="11.25">
      <c r="A190" s="564" t="s">
        <v>746</v>
      </c>
      <c r="B190" s="348" t="s">
        <v>561</v>
      </c>
      <c r="C190" s="349" t="s">
        <v>714</v>
      </c>
      <c r="D190" s="326" t="s">
        <v>672</v>
      </c>
      <c r="E190" s="365">
        <v>2</v>
      </c>
      <c r="F190" s="325" t="s">
        <v>556</v>
      </c>
      <c r="G190" s="110">
        <f t="shared" si="32"/>
        <v>15.171</v>
      </c>
      <c r="H190" s="110">
        <f t="shared" si="33"/>
        <v>85.969</v>
      </c>
      <c r="I190" s="34">
        <f t="shared" si="34"/>
        <v>101.13999999999999</v>
      </c>
      <c r="J190" s="34">
        <f t="shared" si="35"/>
        <v>202.27999999999997</v>
      </c>
      <c r="K190" s="265">
        <f t="shared" si="28"/>
        <v>9.853079079510063E-05</v>
      </c>
      <c r="L190" s="431"/>
      <c r="M190" s="432">
        <v>101.14</v>
      </c>
      <c r="N190" s="433"/>
      <c r="O190" s="432"/>
      <c r="P190" s="432"/>
      <c r="Q190" s="434"/>
      <c r="R190" s="429"/>
      <c r="S190" s="435"/>
      <c r="T190" s="436"/>
    </row>
    <row r="191" spans="1:20" s="437" customFormat="1" ht="11.25">
      <c r="A191" s="564" t="s">
        <v>747</v>
      </c>
      <c r="B191" s="348" t="s">
        <v>561</v>
      </c>
      <c r="C191" s="349" t="s">
        <v>714</v>
      </c>
      <c r="D191" s="326" t="s">
        <v>673</v>
      </c>
      <c r="E191" s="365">
        <v>1</v>
      </c>
      <c r="F191" s="325" t="s">
        <v>556</v>
      </c>
      <c r="G191" s="110">
        <f t="shared" si="32"/>
        <v>15.171</v>
      </c>
      <c r="H191" s="110">
        <f t="shared" si="33"/>
        <v>85.969</v>
      </c>
      <c r="I191" s="34">
        <f t="shared" si="34"/>
        <v>101.13999999999999</v>
      </c>
      <c r="J191" s="34">
        <f t="shared" si="35"/>
        <v>101.13999999999999</v>
      </c>
      <c r="K191" s="265">
        <f t="shared" si="28"/>
        <v>4.926539539755032E-05</v>
      </c>
      <c r="L191" s="431"/>
      <c r="M191" s="432">
        <v>101.14</v>
      </c>
      <c r="N191" s="433"/>
      <c r="O191" s="432"/>
      <c r="P191" s="432"/>
      <c r="Q191" s="434"/>
      <c r="R191" s="429"/>
      <c r="S191" s="435"/>
      <c r="T191" s="436"/>
    </row>
    <row r="192" spans="1:20" s="437" customFormat="1" ht="11.25">
      <c r="A192" s="564" t="s">
        <v>748</v>
      </c>
      <c r="B192" s="348" t="s">
        <v>561</v>
      </c>
      <c r="C192" s="349" t="s">
        <v>714</v>
      </c>
      <c r="D192" s="324" t="s">
        <v>674</v>
      </c>
      <c r="E192" s="365">
        <v>1</v>
      </c>
      <c r="F192" s="325" t="s">
        <v>556</v>
      </c>
      <c r="G192" s="110">
        <f t="shared" si="32"/>
        <v>15.171</v>
      </c>
      <c r="H192" s="110">
        <f t="shared" si="33"/>
        <v>85.969</v>
      </c>
      <c r="I192" s="34">
        <f t="shared" si="34"/>
        <v>101.13999999999999</v>
      </c>
      <c r="J192" s="34">
        <f t="shared" si="35"/>
        <v>101.13999999999999</v>
      </c>
      <c r="K192" s="265">
        <f t="shared" si="28"/>
        <v>4.926539539755032E-05</v>
      </c>
      <c r="L192" s="431"/>
      <c r="M192" s="432">
        <v>101.14</v>
      </c>
      <c r="N192" s="433"/>
      <c r="O192" s="432"/>
      <c r="P192" s="432"/>
      <c r="Q192" s="434"/>
      <c r="R192" s="429"/>
      <c r="S192" s="435"/>
      <c r="T192" s="436"/>
    </row>
    <row r="193" spans="1:20" s="437" customFormat="1" ht="11.25">
      <c r="A193" s="564" t="s">
        <v>749</v>
      </c>
      <c r="B193" s="348" t="s">
        <v>561</v>
      </c>
      <c r="C193" s="349" t="s">
        <v>715</v>
      </c>
      <c r="D193" s="324" t="s">
        <v>675</v>
      </c>
      <c r="E193" s="365">
        <v>2</v>
      </c>
      <c r="F193" s="325" t="s">
        <v>556</v>
      </c>
      <c r="G193" s="110">
        <f t="shared" si="32"/>
        <v>67.839</v>
      </c>
      <c r="H193" s="110">
        <f t="shared" si="33"/>
        <v>384.421</v>
      </c>
      <c r="I193" s="34">
        <f t="shared" si="34"/>
        <v>452.26</v>
      </c>
      <c r="J193" s="34">
        <f t="shared" si="35"/>
        <v>904.52</v>
      </c>
      <c r="K193" s="265">
        <f t="shared" si="28"/>
        <v>0.00044059259882333615</v>
      </c>
      <c r="L193" s="431"/>
      <c r="M193" s="432">
        <v>452.26</v>
      </c>
      <c r="N193" s="433"/>
      <c r="O193" s="432"/>
      <c r="P193" s="432"/>
      <c r="Q193" s="434"/>
      <c r="R193" s="429"/>
      <c r="S193" s="435"/>
      <c r="T193" s="436"/>
    </row>
    <row r="194" spans="1:20" s="437" customFormat="1" ht="11.25">
      <c r="A194" s="564" t="s">
        <v>750</v>
      </c>
      <c r="B194" s="348" t="s">
        <v>561</v>
      </c>
      <c r="C194" s="349" t="s">
        <v>716</v>
      </c>
      <c r="D194" s="324" t="s">
        <v>676</v>
      </c>
      <c r="E194" s="365">
        <v>1</v>
      </c>
      <c r="F194" s="325" t="s">
        <v>556</v>
      </c>
      <c r="G194" s="110">
        <f t="shared" si="32"/>
        <v>112.29899999999999</v>
      </c>
      <c r="H194" s="110">
        <f t="shared" si="33"/>
        <v>636.361</v>
      </c>
      <c r="I194" s="34">
        <f t="shared" si="34"/>
        <v>748.66</v>
      </c>
      <c r="J194" s="34">
        <f t="shared" si="35"/>
        <v>748.66</v>
      </c>
      <c r="K194" s="265">
        <f t="shared" si="28"/>
        <v>0.0003646730365664428</v>
      </c>
      <c r="L194" s="431"/>
      <c r="M194" s="432">
        <v>748.66</v>
      </c>
      <c r="N194" s="433"/>
      <c r="O194" s="432"/>
      <c r="P194" s="432"/>
      <c r="Q194" s="434"/>
      <c r="R194" s="429"/>
      <c r="S194" s="435"/>
      <c r="T194" s="436"/>
    </row>
    <row r="195" spans="1:20" s="437" customFormat="1" ht="11.25">
      <c r="A195" s="564" t="s">
        <v>751</v>
      </c>
      <c r="B195" s="348" t="s">
        <v>560</v>
      </c>
      <c r="C195" s="350">
        <v>71455</v>
      </c>
      <c r="D195" s="326" t="s">
        <v>677</v>
      </c>
      <c r="E195" s="399">
        <v>15</v>
      </c>
      <c r="F195" s="325" t="s">
        <v>556</v>
      </c>
      <c r="G195" s="320">
        <v>28.19</v>
      </c>
      <c r="H195" s="320">
        <v>104.08</v>
      </c>
      <c r="I195" s="320">
        <f>H195+G195</f>
        <v>132.27</v>
      </c>
      <c r="J195" s="320">
        <f>I195*E195</f>
        <v>1984.0500000000002</v>
      </c>
      <c r="K195" s="265">
        <f t="shared" si="28"/>
        <v>0.0009664327441023307</v>
      </c>
      <c r="L195" s="431"/>
      <c r="M195" s="432"/>
      <c r="N195" s="433"/>
      <c r="O195" s="432"/>
      <c r="P195" s="432"/>
      <c r="Q195" s="434"/>
      <c r="R195" s="429"/>
      <c r="S195" s="435"/>
      <c r="T195" s="436"/>
    </row>
    <row r="196" spans="1:20" s="437" customFormat="1" ht="11.25">
      <c r="A196" s="445"/>
      <c r="B196" s="348"/>
      <c r="C196" s="444"/>
      <c r="D196" s="332" t="s">
        <v>678</v>
      </c>
      <c r="E196" s="398"/>
      <c r="F196" s="333"/>
      <c r="G196" s="334"/>
      <c r="H196" s="334"/>
      <c r="I196" s="320"/>
      <c r="J196" s="320"/>
      <c r="K196" s="265">
        <f t="shared" si="28"/>
        <v>0</v>
      </c>
      <c r="L196" s="431"/>
      <c r="M196" s="432"/>
      <c r="N196" s="433"/>
      <c r="O196" s="432"/>
      <c r="P196" s="432"/>
      <c r="Q196" s="434"/>
      <c r="R196" s="429"/>
      <c r="S196" s="435"/>
      <c r="T196" s="436"/>
    </row>
    <row r="197" spans="1:20" s="437" customFormat="1" ht="22.5">
      <c r="A197" s="564" t="s">
        <v>752</v>
      </c>
      <c r="B197" s="348" t="s">
        <v>561</v>
      </c>
      <c r="C197" s="343">
        <v>91926</v>
      </c>
      <c r="D197" s="308" t="s">
        <v>679</v>
      </c>
      <c r="E197" s="365">
        <v>1500</v>
      </c>
      <c r="F197" s="309" t="s">
        <v>194</v>
      </c>
      <c r="G197" s="110">
        <f aca="true" t="shared" si="36" ref="G197:G219">M197*0.15</f>
        <v>0.41100000000000003</v>
      </c>
      <c r="H197" s="110">
        <f aca="true" t="shared" si="37" ref="H197:H219">M197*0.85</f>
        <v>2.329</v>
      </c>
      <c r="I197" s="34">
        <f aca="true" t="shared" si="38" ref="I197:I219">G197+H197</f>
        <v>2.74</v>
      </c>
      <c r="J197" s="34">
        <f aca="true" t="shared" si="39" ref="J197:J219">I197*E197</f>
        <v>4110</v>
      </c>
      <c r="K197" s="265">
        <f t="shared" si="28"/>
        <v>0.0020019851204660056</v>
      </c>
      <c r="L197" s="431"/>
      <c r="M197" s="432">
        <v>2.74</v>
      </c>
      <c r="N197" s="433"/>
      <c r="O197" s="432"/>
      <c r="P197" s="432"/>
      <c r="Q197" s="434"/>
      <c r="R197" s="429"/>
      <c r="S197" s="435"/>
      <c r="T197" s="436"/>
    </row>
    <row r="198" spans="1:20" s="437" customFormat="1" ht="22.5">
      <c r="A198" s="564" t="s">
        <v>753</v>
      </c>
      <c r="B198" s="348" t="s">
        <v>561</v>
      </c>
      <c r="C198" s="343">
        <v>91926</v>
      </c>
      <c r="D198" s="308" t="s">
        <v>680</v>
      </c>
      <c r="E198" s="365">
        <v>1500</v>
      </c>
      <c r="F198" s="309" t="s">
        <v>194</v>
      </c>
      <c r="G198" s="110">
        <f t="shared" si="36"/>
        <v>0.41100000000000003</v>
      </c>
      <c r="H198" s="110">
        <f t="shared" si="37"/>
        <v>2.329</v>
      </c>
      <c r="I198" s="34">
        <f t="shared" si="38"/>
        <v>2.74</v>
      </c>
      <c r="J198" s="34">
        <f t="shared" si="39"/>
        <v>4110</v>
      </c>
      <c r="K198" s="265">
        <f t="shared" si="28"/>
        <v>0.0020019851204660056</v>
      </c>
      <c r="L198" s="431"/>
      <c r="M198" s="432">
        <v>2.74</v>
      </c>
      <c r="N198" s="433"/>
      <c r="O198" s="432"/>
      <c r="P198" s="432"/>
      <c r="Q198" s="434"/>
      <c r="R198" s="429"/>
      <c r="S198" s="435"/>
      <c r="T198" s="436"/>
    </row>
    <row r="199" spans="1:20" s="437" customFormat="1" ht="22.5">
      <c r="A199" s="564" t="s">
        <v>754</v>
      </c>
      <c r="B199" s="348" t="s">
        <v>561</v>
      </c>
      <c r="C199" s="343">
        <v>91926</v>
      </c>
      <c r="D199" s="308" t="s">
        <v>681</v>
      </c>
      <c r="E199" s="365">
        <v>1500</v>
      </c>
      <c r="F199" s="325" t="s">
        <v>194</v>
      </c>
      <c r="G199" s="110">
        <f t="shared" si="36"/>
        <v>0.41100000000000003</v>
      </c>
      <c r="H199" s="110">
        <f t="shared" si="37"/>
        <v>2.329</v>
      </c>
      <c r="I199" s="34">
        <f t="shared" si="38"/>
        <v>2.74</v>
      </c>
      <c r="J199" s="34">
        <f t="shared" si="39"/>
        <v>4110</v>
      </c>
      <c r="K199" s="265">
        <f t="shared" si="28"/>
        <v>0.0020019851204660056</v>
      </c>
      <c r="L199" s="431"/>
      <c r="M199" s="432">
        <v>2.74</v>
      </c>
      <c r="N199" s="433"/>
      <c r="O199" s="432"/>
      <c r="P199" s="432"/>
      <c r="Q199" s="434"/>
      <c r="R199" s="429"/>
      <c r="S199" s="435"/>
      <c r="T199" s="436"/>
    </row>
    <row r="200" spans="1:20" s="437" customFormat="1" ht="22.5">
      <c r="A200" s="564" t="s">
        <v>755</v>
      </c>
      <c r="B200" s="348" t="s">
        <v>561</v>
      </c>
      <c r="C200" s="343">
        <v>91926</v>
      </c>
      <c r="D200" s="308" t="s">
        <v>682</v>
      </c>
      <c r="E200" s="365">
        <v>600</v>
      </c>
      <c r="F200" s="309" t="s">
        <v>194</v>
      </c>
      <c r="G200" s="110">
        <f t="shared" si="36"/>
        <v>0.41100000000000003</v>
      </c>
      <c r="H200" s="110">
        <f t="shared" si="37"/>
        <v>2.329</v>
      </c>
      <c r="I200" s="34">
        <f t="shared" si="38"/>
        <v>2.74</v>
      </c>
      <c r="J200" s="34">
        <f t="shared" si="39"/>
        <v>1644.0000000000002</v>
      </c>
      <c r="K200" s="265">
        <f t="shared" si="28"/>
        <v>0.0008007940481864024</v>
      </c>
      <c r="L200" s="431"/>
      <c r="M200" s="432">
        <v>2.74</v>
      </c>
      <c r="N200" s="433"/>
      <c r="O200" s="432"/>
      <c r="P200" s="432"/>
      <c r="Q200" s="434"/>
      <c r="R200" s="429"/>
      <c r="S200" s="435"/>
      <c r="T200" s="436"/>
    </row>
    <row r="201" spans="1:20" s="437" customFormat="1" ht="22.5">
      <c r="A201" s="564" t="s">
        <v>756</v>
      </c>
      <c r="B201" s="348" t="s">
        <v>561</v>
      </c>
      <c r="C201" s="343">
        <v>91928</v>
      </c>
      <c r="D201" s="308" t="s">
        <v>683</v>
      </c>
      <c r="E201" s="365">
        <v>300</v>
      </c>
      <c r="F201" s="309" t="s">
        <v>194</v>
      </c>
      <c r="G201" s="110">
        <f t="shared" si="36"/>
        <v>0.5715</v>
      </c>
      <c r="H201" s="110">
        <f t="shared" si="37"/>
        <v>3.2385</v>
      </c>
      <c r="I201" s="34">
        <f t="shared" si="38"/>
        <v>3.81</v>
      </c>
      <c r="J201" s="34">
        <f t="shared" si="39"/>
        <v>1143</v>
      </c>
      <c r="K201" s="265">
        <f t="shared" si="28"/>
        <v>0.0005567564459106191</v>
      </c>
      <c r="L201" s="431"/>
      <c r="M201" s="432">
        <v>3.81</v>
      </c>
      <c r="N201" s="433"/>
      <c r="O201" s="432"/>
      <c r="P201" s="432"/>
      <c r="Q201" s="434"/>
      <c r="R201" s="429"/>
      <c r="S201" s="435"/>
      <c r="T201" s="436"/>
    </row>
    <row r="202" spans="1:20" s="437" customFormat="1" ht="22.5">
      <c r="A202" s="564" t="s">
        <v>757</v>
      </c>
      <c r="B202" s="348" t="s">
        <v>561</v>
      </c>
      <c r="C202" s="343">
        <v>91928</v>
      </c>
      <c r="D202" s="308" t="s">
        <v>684</v>
      </c>
      <c r="E202" s="365">
        <v>300</v>
      </c>
      <c r="F202" s="309" t="s">
        <v>194</v>
      </c>
      <c r="G202" s="110">
        <f t="shared" si="36"/>
        <v>0.5715</v>
      </c>
      <c r="H202" s="110">
        <f t="shared" si="37"/>
        <v>3.2385</v>
      </c>
      <c r="I202" s="34">
        <f t="shared" si="38"/>
        <v>3.81</v>
      </c>
      <c r="J202" s="34">
        <f t="shared" si="39"/>
        <v>1143</v>
      </c>
      <c r="K202" s="265">
        <f t="shared" si="28"/>
        <v>0.0005567564459106191</v>
      </c>
      <c r="L202" s="431"/>
      <c r="M202" s="432">
        <v>3.81</v>
      </c>
      <c r="N202" s="433"/>
      <c r="O202" s="432"/>
      <c r="P202" s="432"/>
      <c r="Q202" s="434"/>
      <c r="R202" s="429"/>
      <c r="S202" s="435"/>
      <c r="T202" s="436"/>
    </row>
    <row r="203" spans="1:20" s="437" customFormat="1" ht="22.5">
      <c r="A203" s="564" t="s">
        <v>758</v>
      </c>
      <c r="B203" s="348" t="s">
        <v>561</v>
      </c>
      <c r="C203" s="343">
        <v>91928</v>
      </c>
      <c r="D203" s="308" t="s">
        <v>685</v>
      </c>
      <c r="E203" s="365">
        <v>300</v>
      </c>
      <c r="F203" s="325" t="s">
        <v>194</v>
      </c>
      <c r="G203" s="110">
        <f t="shared" si="36"/>
        <v>0.5715</v>
      </c>
      <c r="H203" s="110">
        <f t="shared" si="37"/>
        <v>3.2385</v>
      </c>
      <c r="I203" s="34">
        <f t="shared" si="38"/>
        <v>3.81</v>
      </c>
      <c r="J203" s="34">
        <f t="shared" si="39"/>
        <v>1143</v>
      </c>
      <c r="K203" s="265">
        <f t="shared" si="28"/>
        <v>0.0005567564459106191</v>
      </c>
      <c r="L203" s="431"/>
      <c r="M203" s="432">
        <v>3.81</v>
      </c>
      <c r="N203" s="433"/>
      <c r="O203" s="432"/>
      <c r="P203" s="432"/>
      <c r="Q203" s="434"/>
      <c r="R203" s="429"/>
      <c r="S203" s="435"/>
      <c r="T203" s="436"/>
    </row>
    <row r="204" spans="1:20" s="437" customFormat="1" ht="22.5">
      <c r="A204" s="564" t="s">
        <v>759</v>
      </c>
      <c r="B204" s="348" t="s">
        <v>561</v>
      </c>
      <c r="C204" s="348">
        <v>91931</v>
      </c>
      <c r="D204" s="322" t="s">
        <v>686</v>
      </c>
      <c r="E204" s="403">
        <v>100</v>
      </c>
      <c r="F204" s="323" t="s">
        <v>194</v>
      </c>
      <c r="G204" s="110">
        <f t="shared" si="36"/>
        <v>0.9555</v>
      </c>
      <c r="H204" s="110">
        <f t="shared" si="37"/>
        <v>5.4145</v>
      </c>
      <c r="I204" s="34">
        <f t="shared" si="38"/>
        <v>6.37</v>
      </c>
      <c r="J204" s="34">
        <f t="shared" si="39"/>
        <v>637</v>
      </c>
      <c r="K204" s="265">
        <f t="shared" si="28"/>
        <v>0.00031028333862210357</v>
      </c>
      <c r="L204" s="431"/>
      <c r="M204" s="432">
        <v>6.37</v>
      </c>
      <c r="N204" s="433"/>
      <c r="O204" s="432"/>
      <c r="P204" s="432"/>
      <c r="Q204" s="434"/>
      <c r="R204" s="429"/>
      <c r="S204" s="435"/>
      <c r="T204" s="436"/>
    </row>
    <row r="205" spans="1:20" s="437" customFormat="1" ht="22.5">
      <c r="A205" s="564" t="s">
        <v>760</v>
      </c>
      <c r="B205" s="348" t="s">
        <v>561</v>
      </c>
      <c r="C205" s="348">
        <v>91931</v>
      </c>
      <c r="D205" s="322" t="s">
        <v>687</v>
      </c>
      <c r="E205" s="403">
        <v>100</v>
      </c>
      <c r="F205" s="323" t="s">
        <v>194</v>
      </c>
      <c r="G205" s="110">
        <f t="shared" si="36"/>
        <v>0.9555</v>
      </c>
      <c r="H205" s="110">
        <f t="shared" si="37"/>
        <v>5.4145</v>
      </c>
      <c r="I205" s="34">
        <f t="shared" si="38"/>
        <v>6.37</v>
      </c>
      <c r="J205" s="34">
        <f t="shared" si="39"/>
        <v>637</v>
      </c>
      <c r="K205" s="265">
        <f t="shared" si="28"/>
        <v>0.00031028333862210357</v>
      </c>
      <c r="L205" s="431"/>
      <c r="M205" s="432">
        <v>6.37</v>
      </c>
      <c r="N205" s="433"/>
      <c r="O205" s="432"/>
      <c r="P205" s="432"/>
      <c r="Q205" s="434"/>
      <c r="R205" s="429"/>
      <c r="S205" s="435"/>
      <c r="T205" s="436"/>
    </row>
    <row r="206" spans="1:20" s="437" customFormat="1" ht="22.5">
      <c r="A206" s="564" t="s">
        <v>761</v>
      </c>
      <c r="B206" s="348" t="s">
        <v>561</v>
      </c>
      <c r="C206" s="348">
        <v>91931</v>
      </c>
      <c r="D206" s="322" t="s">
        <v>688</v>
      </c>
      <c r="E206" s="403">
        <v>200</v>
      </c>
      <c r="F206" s="323" t="s">
        <v>194</v>
      </c>
      <c r="G206" s="110">
        <f t="shared" si="36"/>
        <v>0.9555</v>
      </c>
      <c r="H206" s="110">
        <f t="shared" si="37"/>
        <v>5.4145</v>
      </c>
      <c r="I206" s="34">
        <f t="shared" si="38"/>
        <v>6.37</v>
      </c>
      <c r="J206" s="34">
        <f t="shared" si="39"/>
        <v>1274</v>
      </c>
      <c r="K206" s="265">
        <f t="shared" si="28"/>
        <v>0.0006205666772442071</v>
      </c>
      <c r="L206" s="431"/>
      <c r="M206" s="432">
        <v>6.37</v>
      </c>
      <c r="N206" s="433"/>
      <c r="O206" s="432"/>
      <c r="P206" s="432"/>
      <c r="Q206" s="434"/>
      <c r="R206" s="429"/>
      <c r="S206" s="435"/>
      <c r="T206" s="436"/>
    </row>
    <row r="207" spans="1:20" s="437" customFormat="1" ht="22.5">
      <c r="A207" s="564" t="s">
        <v>762</v>
      </c>
      <c r="B207" s="348" t="s">
        <v>561</v>
      </c>
      <c r="C207" s="348">
        <v>92982</v>
      </c>
      <c r="D207" s="322" t="s">
        <v>689</v>
      </c>
      <c r="E207" s="403">
        <v>15</v>
      </c>
      <c r="F207" s="323" t="s">
        <v>194</v>
      </c>
      <c r="G207" s="110">
        <f t="shared" si="36"/>
        <v>1.461</v>
      </c>
      <c r="H207" s="110">
        <f t="shared" si="37"/>
        <v>8.279</v>
      </c>
      <c r="I207" s="34">
        <f t="shared" si="38"/>
        <v>9.74</v>
      </c>
      <c r="J207" s="34">
        <f t="shared" si="39"/>
        <v>146.1</v>
      </c>
      <c r="K207" s="265">
        <f t="shared" si="28"/>
        <v>7.116545647203976E-05</v>
      </c>
      <c r="L207" s="431"/>
      <c r="M207" s="432">
        <v>9.74</v>
      </c>
      <c r="N207" s="433"/>
      <c r="O207" s="432"/>
      <c r="P207" s="432"/>
      <c r="Q207" s="434"/>
      <c r="R207" s="429"/>
      <c r="S207" s="435"/>
      <c r="T207" s="436"/>
    </row>
    <row r="208" spans="1:20" s="437" customFormat="1" ht="22.5">
      <c r="A208" s="564" t="s">
        <v>763</v>
      </c>
      <c r="B208" s="348" t="s">
        <v>561</v>
      </c>
      <c r="C208" s="348">
        <v>92982</v>
      </c>
      <c r="D208" s="322" t="s">
        <v>690</v>
      </c>
      <c r="E208" s="403">
        <v>45</v>
      </c>
      <c r="F208" s="323" t="s">
        <v>194</v>
      </c>
      <c r="G208" s="110">
        <f t="shared" si="36"/>
        <v>1.461</v>
      </c>
      <c r="H208" s="110">
        <f t="shared" si="37"/>
        <v>8.279</v>
      </c>
      <c r="I208" s="34">
        <f t="shared" si="38"/>
        <v>9.74</v>
      </c>
      <c r="J208" s="34">
        <f t="shared" si="39"/>
        <v>438.3</v>
      </c>
      <c r="K208" s="265">
        <f t="shared" si="28"/>
        <v>0.0002134963694161193</v>
      </c>
      <c r="L208" s="431"/>
      <c r="M208" s="432">
        <v>9.74</v>
      </c>
      <c r="N208" s="433"/>
      <c r="O208" s="432"/>
      <c r="P208" s="432"/>
      <c r="Q208" s="434"/>
      <c r="R208" s="429"/>
      <c r="S208" s="435"/>
      <c r="T208" s="436"/>
    </row>
    <row r="209" spans="1:20" s="437" customFormat="1" ht="22.5">
      <c r="A209" s="564" t="s">
        <v>764</v>
      </c>
      <c r="B209" s="348" t="s">
        <v>561</v>
      </c>
      <c r="C209" s="348">
        <v>92982</v>
      </c>
      <c r="D209" s="322" t="s">
        <v>691</v>
      </c>
      <c r="E209" s="403">
        <v>30</v>
      </c>
      <c r="F209" s="323" t="s">
        <v>194</v>
      </c>
      <c r="G209" s="110">
        <f t="shared" si="36"/>
        <v>1.461</v>
      </c>
      <c r="H209" s="110">
        <f t="shared" si="37"/>
        <v>8.279</v>
      </c>
      <c r="I209" s="34">
        <f t="shared" si="38"/>
        <v>9.74</v>
      </c>
      <c r="J209" s="34">
        <f t="shared" si="39"/>
        <v>292.2</v>
      </c>
      <c r="K209" s="265">
        <f t="shared" si="28"/>
        <v>0.00014233091294407952</v>
      </c>
      <c r="L209" s="431"/>
      <c r="M209" s="432">
        <v>9.74</v>
      </c>
      <c r="N209" s="433"/>
      <c r="O209" s="432"/>
      <c r="P209" s="432"/>
      <c r="Q209" s="434"/>
      <c r="R209" s="429"/>
      <c r="S209" s="435"/>
      <c r="T209" s="436"/>
    </row>
    <row r="210" spans="1:20" s="437" customFormat="1" ht="22.5">
      <c r="A210" s="564" t="s">
        <v>765</v>
      </c>
      <c r="B210" s="348" t="s">
        <v>561</v>
      </c>
      <c r="C210" s="348">
        <v>92986</v>
      </c>
      <c r="D210" s="322" t="s">
        <v>692</v>
      </c>
      <c r="E210" s="403">
        <v>15</v>
      </c>
      <c r="F210" s="323" t="s">
        <v>194</v>
      </c>
      <c r="G210" s="110">
        <f t="shared" si="36"/>
        <v>3.1559999999999997</v>
      </c>
      <c r="H210" s="110">
        <f t="shared" si="37"/>
        <v>17.884</v>
      </c>
      <c r="I210" s="34">
        <f t="shared" si="38"/>
        <v>21.04</v>
      </c>
      <c r="J210" s="34">
        <f t="shared" si="39"/>
        <v>315.59999999999997</v>
      </c>
      <c r="K210" s="265">
        <f t="shared" si="28"/>
        <v>0.000153729076403667</v>
      </c>
      <c r="L210" s="431"/>
      <c r="M210" s="432">
        <v>21.04</v>
      </c>
      <c r="N210" s="433"/>
      <c r="O210" s="432"/>
      <c r="P210" s="432"/>
      <c r="Q210" s="434"/>
      <c r="R210" s="429"/>
      <c r="S210" s="435"/>
      <c r="T210" s="436"/>
    </row>
    <row r="211" spans="1:20" s="437" customFormat="1" ht="22.5">
      <c r="A211" s="564" t="s">
        <v>766</v>
      </c>
      <c r="B211" s="348" t="s">
        <v>561</v>
      </c>
      <c r="C211" s="348">
        <v>92986</v>
      </c>
      <c r="D211" s="322" t="s">
        <v>693</v>
      </c>
      <c r="E211" s="403">
        <v>45</v>
      </c>
      <c r="F211" s="323" t="s">
        <v>194</v>
      </c>
      <c r="G211" s="110">
        <f t="shared" si="36"/>
        <v>3.1559999999999997</v>
      </c>
      <c r="H211" s="110">
        <f t="shared" si="37"/>
        <v>17.884</v>
      </c>
      <c r="I211" s="34">
        <f t="shared" si="38"/>
        <v>21.04</v>
      </c>
      <c r="J211" s="34">
        <f t="shared" si="39"/>
        <v>946.8</v>
      </c>
      <c r="K211" s="265">
        <f t="shared" si="28"/>
        <v>0.00046118722921100104</v>
      </c>
      <c r="L211" s="431"/>
      <c r="M211" s="432">
        <v>21.04</v>
      </c>
      <c r="N211" s="433"/>
      <c r="O211" s="432"/>
      <c r="P211" s="432"/>
      <c r="Q211" s="434"/>
      <c r="R211" s="429"/>
      <c r="S211" s="435"/>
      <c r="T211" s="436"/>
    </row>
    <row r="212" spans="1:20" s="437" customFormat="1" ht="22.5">
      <c r="A212" s="564" t="s">
        <v>767</v>
      </c>
      <c r="B212" s="348" t="s">
        <v>561</v>
      </c>
      <c r="C212" s="348">
        <v>92986</v>
      </c>
      <c r="D212" s="322" t="s">
        <v>694</v>
      </c>
      <c r="E212" s="403">
        <v>15</v>
      </c>
      <c r="F212" s="323" t="s">
        <v>194</v>
      </c>
      <c r="G212" s="110">
        <f t="shared" si="36"/>
        <v>3.1559999999999997</v>
      </c>
      <c r="H212" s="110">
        <f t="shared" si="37"/>
        <v>17.884</v>
      </c>
      <c r="I212" s="34">
        <f t="shared" si="38"/>
        <v>21.04</v>
      </c>
      <c r="J212" s="34">
        <f t="shared" si="39"/>
        <v>315.59999999999997</v>
      </c>
      <c r="K212" s="265">
        <f t="shared" si="28"/>
        <v>0.000153729076403667</v>
      </c>
      <c r="L212" s="431"/>
      <c r="M212" s="432">
        <v>21.04</v>
      </c>
      <c r="N212" s="433"/>
      <c r="O212" s="432"/>
      <c r="P212" s="432"/>
      <c r="Q212" s="434"/>
      <c r="R212" s="429"/>
      <c r="S212" s="435"/>
      <c r="T212" s="436"/>
    </row>
    <row r="213" spans="1:20" s="437" customFormat="1" ht="22.5">
      <c r="A213" s="564" t="s">
        <v>768</v>
      </c>
      <c r="B213" s="348" t="s">
        <v>561</v>
      </c>
      <c r="C213" s="348">
        <v>92990</v>
      </c>
      <c r="D213" s="322" t="s">
        <v>695</v>
      </c>
      <c r="E213" s="403">
        <v>15</v>
      </c>
      <c r="F213" s="323" t="s">
        <v>194</v>
      </c>
      <c r="G213" s="110">
        <f t="shared" si="36"/>
        <v>5.811</v>
      </c>
      <c r="H213" s="110">
        <f t="shared" si="37"/>
        <v>32.929</v>
      </c>
      <c r="I213" s="34">
        <f t="shared" si="38"/>
        <v>38.74</v>
      </c>
      <c r="J213" s="34">
        <f t="shared" si="39"/>
        <v>581.1</v>
      </c>
      <c r="K213" s="265">
        <f t="shared" si="28"/>
        <v>0.00028305439257975574</v>
      </c>
      <c r="L213" s="431"/>
      <c r="M213" s="432">
        <v>38.74</v>
      </c>
      <c r="N213" s="433"/>
      <c r="O213" s="432"/>
      <c r="P213" s="432"/>
      <c r="Q213" s="434"/>
      <c r="R213" s="429"/>
      <c r="S213" s="435"/>
      <c r="T213" s="436"/>
    </row>
    <row r="214" spans="1:20" s="437" customFormat="1" ht="22.5">
      <c r="A214" s="564" t="s">
        <v>769</v>
      </c>
      <c r="B214" s="348" t="s">
        <v>561</v>
      </c>
      <c r="C214" s="348">
        <v>92990</v>
      </c>
      <c r="D214" s="322" t="s">
        <v>696</v>
      </c>
      <c r="E214" s="403">
        <v>30</v>
      </c>
      <c r="F214" s="323" t="s">
        <v>194</v>
      </c>
      <c r="G214" s="110">
        <f t="shared" si="36"/>
        <v>5.6610000000000005</v>
      </c>
      <c r="H214" s="110">
        <f t="shared" si="37"/>
        <v>32.079</v>
      </c>
      <c r="I214" s="34">
        <f t="shared" si="38"/>
        <v>37.74</v>
      </c>
      <c r="J214" s="34">
        <f t="shared" si="39"/>
        <v>1132.2</v>
      </c>
      <c r="K214" s="265">
        <f t="shared" si="28"/>
        <v>0.0005514957550831173</v>
      </c>
      <c r="L214" s="431"/>
      <c r="M214" s="432">
        <v>37.74</v>
      </c>
      <c r="N214" s="433"/>
      <c r="O214" s="432"/>
      <c r="P214" s="432"/>
      <c r="Q214" s="434"/>
      <c r="R214" s="429"/>
      <c r="S214" s="435"/>
      <c r="T214" s="436"/>
    </row>
    <row r="215" spans="1:20" s="437" customFormat="1" ht="11.25">
      <c r="A215" s="445"/>
      <c r="B215" s="348"/>
      <c r="C215" s="444"/>
      <c r="D215" s="332" t="s">
        <v>697</v>
      </c>
      <c r="E215" s="398"/>
      <c r="F215" s="333"/>
      <c r="G215" s="110">
        <f t="shared" si="36"/>
        <v>0</v>
      </c>
      <c r="H215" s="110">
        <f t="shared" si="37"/>
        <v>0</v>
      </c>
      <c r="I215" s="34">
        <f t="shared" si="38"/>
        <v>0</v>
      </c>
      <c r="J215" s="34">
        <f t="shared" si="39"/>
        <v>0</v>
      </c>
      <c r="K215" s="265">
        <f t="shared" si="28"/>
        <v>0</v>
      </c>
      <c r="L215" s="431"/>
      <c r="M215" s="432"/>
      <c r="N215" s="433"/>
      <c r="O215" s="432"/>
      <c r="P215" s="432"/>
      <c r="Q215" s="434"/>
      <c r="R215" s="429"/>
      <c r="S215" s="435"/>
      <c r="T215" s="436"/>
    </row>
    <row r="216" spans="1:20" s="437" customFormat="1" ht="11.25">
      <c r="A216" s="564" t="s">
        <v>770</v>
      </c>
      <c r="B216" s="348" t="s">
        <v>561</v>
      </c>
      <c r="C216" s="350">
        <v>91953</v>
      </c>
      <c r="D216" s="327" t="s">
        <v>698</v>
      </c>
      <c r="E216" s="365">
        <v>47</v>
      </c>
      <c r="F216" s="325" t="s">
        <v>556</v>
      </c>
      <c r="G216" s="110">
        <f t="shared" si="36"/>
        <v>3.0435</v>
      </c>
      <c r="H216" s="110">
        <f t="shared" si="37"/>
        <v>17.246499999999997</v>
      </c>
      <c r="I216" s="34">
        <f t="shared" si="38"/>
        <v>20.29</v>
      </c>
      <c r="J216" s="34">
        <f t="shared" si="39"/>
        <v>953.63</v>
      </c>
      <c r="K216" s="265">
        <f t="shared" si="28"/>
        <v>0.00046451412905839344</v>
      </c>
      <c r="L216" s="431"/>
      <c r="M216" s="432">
        <v>20.29</v>
      </c>
      <c r="N216" s="433"/>
      <c r="O216" s="432"/>
      <c r="P216" s="432"/>
      <c r="Q216" s="434"/>
      <c r="R216" s="429"/>
      <c r="S216" s="435"/>
      <c r="T216" s="436"/>
    </row>
    <row r="217" spans="1:20" s="437" customFormat="1" ht="11.25">
      <c r="A217" s="564" t="s">
        <v>771</v>
      </c>
      <c r="B217" s="348" t="s">
        <v>561</v>
      </c>
      <c r="C217" s="350">
        <v>91959</v>
      </c>
      <c r="D217" s="327" t="s">
        <v>699</v>
      </c>
      <c r="E217" s="365">
        <v>6</v>
      </c>
      <c r="F217" s="325" t="s">
        <v>556</v>
      </c>
      <c r="G217" s="110">
        <f t="shared" si="36"/>
        <v>4.857</v>
      </c>
      <c r="H217" s="110">
        <f t="shared" si="37"/>
        <v>27.523</v>
      </c>
      <c r="I217" s="34">
        <f t="shared" si="38"/>
        <v>32.38</v>
      </c>
      <c r="J217" s="34">
        <f t="shared" si="39"/>
        <v>194.28000000000003</v>
      </c>
      <c r="K217" s="265">
        <f t="shared" si="28"/>
        <v>9.463398277472887E-05</v>
      </c>
      <c r="L217" s="431"/>
      <c r="M217" s="432">
        <v>32.38</v>
      </c>
      <c r="N217" s="433"/>
      <c r="O217" s="432"/>
      <c r="P217" s="432"/>
      <c r="Q217" s="434"/>
      <c r="R217" s="429"/>
      <c r="S217" s="435"/>
      <c r="T217" s="436"/>
    </row>
    <row r="218" spans="1:20" s="437" customFormat="1" ht="11.25">
      <c r="A218" s="564" t="s">
        <v>772</v>
      </c>
      <c r="B218" s="348" t="s">
        <v>561</v>
      </c>
      <c r="C218" s="350">
        <v>91967</v>
      </c>
      <c r="D218" s="327" t="s">
        <v>700</v>
      </c>
      <c r="E218" s="365">
        <v>3</v>
      </c>
      <c r="F218" s="325" t="s">
        <v>556</v>
      </c>
      <c r="G218" s="110">
        <f t="shared" si="36"/>
        <v>6.669</v>
      </c>
      <c r="H218" s="110">
        <f t="shared" si="37"/>
        <v>37.791</v>
      </c>
      <c r="I218" s="34">
        <f t="shared" si="38"/>
        <v>44.459999999999994</v>
      </c>
      <c r="J218" s="34">
        <f t="shared" si="39"/>
        <v>133.38</v>
      </c>
      <c r="K218" s="265">
        <f t="shared" si="28"/>
        <v>6.496953171964862E-05</v>
      </c>
      <c r="L218" s="431"/>
      <c r="M218" s="432">
        <v>44.46</v>
      </c>
      <c r="N218" s="433"/>
      <c r="O218" s="432"/>
      <c r="P218" s="432"/>
      <c r="Q218" s="434"/>
      <c r="R218" s="429"/>
      <c r="S218" s="435"/>
      <c r="T218" s="436"/>
    </row>
    <row r="219" spans="1:20" s="437" customFormat="1" ht="22.5">
      <c r="A219" s="564" t="s">
        <v>773</v>
      </c>
      <c r="B219" s="348" t="s">
        <v>561</v>
      </c>
      <c r="C219" s="350">
        <v>91955</v>
      </c>
      <c r="D219" s="328" t="s">
        <v>701</v>
      </c>
      <c r="E219" s="365">
        <v>7</v>
      </c>
      <c r="F219" s="325" t="s">
        <v>556</v>
      </c>
      <c r="G219" s="110">
        <f t="shared" si="36"/>
        <v>3.8339999999999996</v>
      </c>
      <c r="H219" s="110">
        <f t="shared" si="37"/>
        <v>21.726</v>
      </c>
      <c r="I219" s="34">
        <f t="shared" si="38"/>
        <v>25.56</v>
      </c>
      <c r="J219" s="34">
        <f t="shared" si="39"/>
        <v>178.92</v>
      </c>
      <c r="K219" s="265">
        <f t="shared" si="28"/>
        <v>8.715211137561502E-05</v>
      </c>
      <c r="L219" s="431"/>
      <c r="M219" s="432">
        <v>25.56</v>
      </c>
      <c r="N219" s="433"/>
      <c r="O219" s="432"/>
      <c r="P219" s="432"/>
      <c r="Q219" s="434"/>
      <c r="R219" s="429"/>
      <c r="S219" s="435"/>
      <c r="T219" s="436"/>
    </row>
    <row r="220" spans="1:20" s="443" customFormat="1" ht="11.25">
      <c r="A220" s="445"/>
      <c r="B220" s="348"/>
      <c r="C220" s="348"/>
      <c r="D220" s="332" t="s">
        <v>702</v>
      </c>
      <c r="E220" s="398"/>
      <c r="F220" s="333"/>
      <c r="G220" s="334"/>
      <c r="H220" s="334"/>
      <c r="I220" s="320"/>
      <c r="J220" s="320"/>
      <c r="K220" s="265">
        <f t="shared" si="28"/>
        <v>0</v>
      </c>
      <c r="L220" s="438" t="s">
        <v>147</v>
      </c>
      <c r="M220" s="439"/>
      <c r="N220" s="440"/>
      <c r="O220" s="432"/>
      <c r="P220" s="432"/>
      <c r="Q220" s="441"/>
      <c r="R220" s="441"/>
      <c r="S220" s="430"/>
      <c r="T220" s="442"/>
    </row>
    <row r="221" spans="1:20" s="437" customFormat="1" ht="33.75">
      <c r="A221" s="564" t="s">
        <v>774</v>
      </c>
      <c r="B221" s="522" t="s">
        <v>710</v>
      </c>
      <c r="C221" s="522"/>
      <c r="D221" s="328" t="s">
        <v>703</v>
      </c>
      <c r="E221" s="365">
        <v>45</v>
      </c>
      <c r="F221" s="323" t="s">
        <v>556</v>
      </c>
      <c r="G221" s="320">
        <f>0.1765*H221</f>
        <v>6.177499999999999</v>
      </c>
      <c r="H221" s="310">
        <v>35</v>
      </c>
      <c r="I221" s="320">
        <f>H221+G221</f>
        <v>41.1775</v>
      </c>
      <c r="J221" s="329">
        <f aca="true" t="shared" si="40" ref="J221:J226">I221*E221</f>
        <v>1852.9875000000002</v>
      </c>
      <c r="K221" s="265">
        <f t="shared" si="28"/>
        <v>0.0009025920689560835</v>
      </c>
      <c r="L221" s="431"/>
      <c r="M221" s="432"/>
      <c r="N221" s="433"/>
      <c r="O221" s="432"/>
      <c r="P221" s="432"/>
      <c r="Q221" s="434"/>
      <c r="R221" s="429"/>
      <c r="S221" s="435"/>
      <c r="T221" s="436"/>
    </row>
    <row r="222" spans="1:20" s="437" customFormat="1" ht="22.5">
      <c r="A222" s="564" t="s">
        <v>775</v>
      </c>
      <c r="B222" s="522" t="s">
        <v>710</v>
      </c>
      <c r="C222" s="522"/>
      <c r="D222" s="328" t="s">
        <v>704</v>
      </c>
      <c r="E222" s="365">
        <v>1</v>
      </c>
      <c r="F222" s="323" t="s">
        <v>556</v>
      </c>
      <c r="G222" s="320">
        <f>0.1765*H222</f>
        <v>3.53</v>
      </c>
      <c r="H222" s="310">
        <v>20</v>
      </c>
      <c r="I222" s="320">
        <f>H222+G222</f>
        <v>23.53</v>
      </c>
      <c r="J222" s="329">
        <f t="shared" si="40"/>
        <v>23.53</v>
      </c>
      <c r="K222" s="265">
        <f aca="true" t="shared" si="41" ref="K222:K227">J222/$J$633</f>
        <v>1.146148658991852E-05</v>
      </c>
      <c r="L222" s="431"/>
      <c r="M222" s="432"/>
      <c r="N222" s="433"/>
      <c r="O222" s="432"/>
      <c r="P222" s="432"/>
      <c r="Q222" s="434"/>
      <c r="R222" s="429"/>
      <c r="S222" s="435"/>
      <c r="T222" s="436"/>
    </row>
    <row r="223" spans="1:20" s="437" customFormat="1" ht="56.25">
      <c r="A223" s="564" t="s">
        <v>776</v>
      </c>
      <c r="B223" s="522" t="s">
        <v>710</v>
      </c>
      <c r="C223" s="522"/>
      <c r="D223" s="330" t="s">
        <v>705</v>
      </c>
      <c r="E223" s="397">
        <v>14</v>
      </c>
      <c r="F223" s="18" t="s">
        <v>556</v>
      </c>
      <c r="G223" s="315">
        <f>I223*0.3</f>
        <v>12.564</v>
      </c>
      <c r="H223" s="315">
        <f>0.7*I223</f>
        <v>29.316</v>
      </c>
      <c r="I223" s="34">
        <v>41.88</v>
      </c>
      <c r="J223" s="110">
        <f t="shared" si="40"/>
        <v>586.32</v>
      </c>
      <c r="K223" s="265">
        <f t="shared" si="41"/>
        <v>0.0002855970598130483</v>
      </c>
      <c r="L223" s="431"/>
      <c r="M223" s="432"/>
      <c r="N223" s="433"/>
      <c r="O223" s="432"/>
      <c r="P223" s="432"/>
      <c r="Q223" s="434"/>
      <c r="R223" s="429"/>
      <c r="S223" s="435"/>
      <c r="T223" s="436"/>
    </row>
    <row r="224" spans="1:20" s="437" customFormat="1" ht="45">
      <c r="A224" s="564" t="s">
        <v>777</v>
      </c>
      <c r="B224" s="522" t="s">
        <v>710</v>
      </c>
      <c r="C224" s="522"/>
      <c r="D224" s="330" t="s">
        <v>706</v>
      </c>
      <c r="E224" s="397">
        <v>1</v>
      </c>
      <c r="F224" s="323" t="s">
        <v>556</v>
      </c>
      <c r="G224" s="320">
        <f>0.1765*H224</f>
        <v>5.277349999999999</v>
      </c>
      <c r="H224" s="321">
        <v>29.9</v>
      </c>
      <c r="I224" s="320">
        <f>H224+G224</f>
        <v>35.17735</v>
      </c>
      <c r="J224" s="329">
        <f t="shared" si="40"/>
        <v>35.17735</v>
      </c>
      <c r="K224" s="265">
        <f t="shared" si="41"/>
        <v>1.7134922451928186E-05</v>
      </c>
      <c r="L224" s="431"/>
      <c r="M224" s="432"/>
      <c r="N224" s="433"/>
      <c r="O224" s="432"/>
      <c r="P224" s="432"/>
      <c r="Q224" s="434"/>
      <c r="R224" s="429"/>
      <c r="S224" s="435"/>
      <c r="T224" s="436"/>
    </row>
    <row r="225" spans="1:20" s="437" customFormat="1" ht="78.75">
      <c r="A225" s="564" t="s">
        <v>778</v>
      </c>
      <c r="B225" s="522" t="s">
        <v>710</v>
      </c>
      <c r="C225" s="522"/>
      <c r="D225" s="330" t="s">
        <v>707</v>
      </c>
      <c r="E225" s="397">
        <v>8</v>
      </c>
      <c r="F225" s="323" t="s">
        <v>556</v>
      </c>
      <c r="G225" s="320">
        <f>0.1765*H225</f>
        <v>50.9379</v>
      </c>
      <c r="H225" s="321">
        <v>288.6</v>
      </c>
      <c r="I225" s="320">
        <f>H225+G225</f>
        <v>339.53790000000004</v>
      </c>
      <c r="J225" s="329">
        <f t="shared" si="40"/>
        <v>2716.3032000000003</v>
      </c>
      <c r="K225" s="265">
        <f t="shared" si="41"/>
        <v>0.001323114011940194</v>
      </c>
      <c r="L225" s="431"/>
      <c r="M225" s="432"/>
      <c r="N225" s="433"/>
      <c r="O225" s="432"/>
      <c r="P225" s="432"/>
      <c r="Q225" s="434"/>
      <c r="R225" s="429"/>
      <c r="S225" s="435"/>
      <c r="T225" s="436"/>
    </row>
    <row r="226" spans="1:20" s="437" customFormat="1" ht="11.25">
      <c r="A226" s="564" t="s">
        <v>787</v>
      </c>
      <c r="B226" s="522" t="s">
        <v>710</v>
      </c>
      <c r="C226" s="522"/>
      <c r="D226" s="331" t="s">
        <v>708</v>
      </c>
      <c r="E226" s="399">
        <v>17</v>
      </c>
      <c r="F226" s="323" t="s">
        <v>556</v>
      </c>
      <c r="G226" s="320">
        <f>0.1765*H226</f>
        <v>7.042349999999999</v>
      </c>
      <c r="H226" s="311">
        <v>39.9</v>
      </c>
      <c r="I226" s="320">
        <f>H226+G226</f>
        <v>46.94235</v>
      </c>
      <c r="J226" s="320">
        <f t="shared" si="40"/>
        <v>798.01995</v>
      </c>
      <c r="K226" s="265">
        <f t="shared" si="41"/>
        <v>0.00038871631769708657</v>
      </c>
      <c r="L226" s="431"/>
      <c r="M226" s="432"/>
      <c r="N226" s="433"/>
      <c r="O226" s="432"/>
      <c r="P226" s="432"/>
      <c r="Q226" s="434"/>
      <c r="R226" s="429"/>
      <c r="S226" s="435"/>
      <c r="T226" s="436"/>
    </row>
    <row r="227" spans="1:12" s="448" customFormat="1" ht="11.25">
      <c r="A227" s="228"/>
      <c r="B227" s="228"/>
      <c r="C227" s="129"/>
      <c r="D227" s="338" t="s">
        <v>562</v>
      </c>
      <c r="E227" s="365"/>
      <c r="F227" s="340"/>
      <c r="G227" s="341"/>
      <c r="H227" s="341"/>
      <c r="I227" s="110"/>
      <c r="J227" s="368">
        <f>SUM(J228:J282)</f>
        <v>39735.44744999999</v>
      </c>
      <c r="K227" s="43">
        <f t="shared" si="41"/>
        <v>0.019355176289527706</v>
      </c>
      <c r="L227" s="447"/>
    </row>
    <row r="228" spans="1:11" ht="11.25">
      <c r="A228" s="445"/>
      <c r="B228" s="186"/>
      <c r="C228" s="186"/>
      <c r="D228" s="332" t="s">
        <v>709</v>
      </c>
      <c r="E228" s="398"/>
      <c r="F228" s="352"/>
      <c r="G228" s="353"/>
      <c r="H228" s="353"/>
      <c r="I228" s="353"/>
      <c r="J228" s="353"/>
      <c r="K228" s="446"/>
    </row>
    <row r="229" spans="1:13" ht="22.5">
      <c r="A229" s="564" t="s">
        <v>788</v>
      </c>
      <c r="B229" s="348" t="s">
        <v>561</v>
      </c>
      <c r="C229" s="343">
        <v>91996</v>
      </c>
      <c r="D229" s="308" t="s">
        <v>643</v>
      </c>
      <c r="E229" s="365">
        <v>7</v>
      </c>
      <c r="F229" s="309" t="s">
        <v>556</v>
      </c>
      <c r="G229" s="110">
        <f aca="true" t="shared" si="42" ref="G229:G246">M229*0.15</f>
        <v>3.24</v>
      </c>
      <c r="H229" s="110">
        <f aca="true" t="shared" si="43" ref="H229:H246">M229*0.85</f>
        <v>18.36</v>
      </c>
      <c r="I229" s="34">
        <f aca="true" t="shared" si="44" ref="I229:I246">G229+H229</f>
        <v>21.6</v>
      </c>
      <c r="J229" s="34">
        <f aca="true" t="shared" si="45" ref="J229:J246">I229*E229</f>
        <v>151.20000000000002</v>
      </c>
      <c r="K229" s="265">
        <f aca="true" t="shared" si="46" ref="K229:K246">J229/$J$633</f>
        <v>7.364967158502679E-05</v>
      </c>
      <c r="M229" s="177">
        <v>21.6</v>
      </c>
    </row>
    <row r="230" spans="1:13" ht="22.5">
      <c r="A230" s="564" t="s">
        <v>789</v>
      </c>
      <c r="B230" s="348" t="s">
        <v>561</v>
      </c>
      <c r="C230" s="343">
        <v>92004</v>
      </c>
      <c r="D230" s="312" t="s">
        <v>644</v>
      </c>
      <c r="E230" s="365">
        <v>1</v>
      </c>
      <c r="F230" s="309" t="s">
        <v>556</v>
      </c>
      <c r="G230" s="110">
        <f t="shared" si="42"/>
        <v>5.242500000000001</v>
      </c>
      <c r="H230" s="110">
        <f t="shared" si="43"/>
        <v>29.707500000000003</v>
      </c>
      <c r="I230" s="34">
        <f t="shared" si="44"/>
        <v>34.95</v>
      </c>
      <c r="J230" s="34">
        <f t="shared" si="45"/>
        <v>34.95</v>
      </c>
      <c r="K230" s="265">
        <f t="shared" si="46"/>
        <v>1.7024180038999248E-05</v>
      </c>
      <c r="M230" s="177">
        <v>34.95</v>
      </c>
    </row>
    <row r="231" spans="1:13" ht="22.5">
      <c r="A231" s="564" t="s">
        <v>790</v>
      </c>
      <c r="B231" s="348" t="s">
        <v>561</v>
      </c>
      <c r="C231" s="343">
        <v>92000</v>
      </c>
      <c r="D231" s="308" t="s">
        <v>645</v>
      </c>
      <c r="E231" s="365">
        <v>39</v>
      </c>
      <c r="F231" s="309" t="s">
        <v>556</v>
      </c>
      <c r="G231" s="110">
        <f t="shared" si="42"/>
        <v>2.8859999999999997</v>
      </c>
      <c r="H231" s="110">
        <f t="shared" si="43"/>
        <v>16.354</v>
      </c>
      <c r="I231" s="34">
        <f t="shared" si="44"/>
        <v>19.24</v>
      </c>
      <c r="J231" s="34">
        <f t="shared" si="45"/>
        <v>750.3599999999999</v>
      </c>
      <c r="K231" s="265">
        <f t="shared" si="46"/>
        <v>0.00036550110827077175</v>
      </c>
      <c r="M231" s="177">
        <v>19.24</v>
      </c>
    </row>
    <row r="232" spans="1:13" ht="22.5">
      <c r="A232" s="564" t="s">
        <v>791</v>
      </c>
      <c r="B232" s="348" t="s">
        <v>561</v>
      </c>
      <c r="C232" s="343">
        <v>92008</v>
      </c>
      <c r="D232" s="308" t="s">
        <v>646</v>
      </c>
      <c r="E232" s="365">
        <v>12</v>
      </c>
      <c r="F232" s="309" t="s">
        <v>556</v>
      </c>
      <c r="G232" s="110">
        <f t="shared" si="42"/>
        <v>4.5375</v>
      </c>
      <c r="H232" s="110">
        <f t="shared" si="43"/>
        <v>25.7125</v>
      </c>
      <c r="I232" s="34">
        <f t="shared" si="44"/>
        <v>30.25</v>
      </c>
      <c r="J232" s="34">
        <f t="shared" si="45"/>
        <v>363</v>
      </c>
      <c r="K232" s="265">
        <f t="shared" si="46"/>
        <v>0.00017681766392436987</v>
      </c>
      <c r="M232" s="177">
        <v>30.25</v>
      </c>
    </row>
    <row r="233" spans="1:13" ht="22.5">
      <c r="A233" s="564" t="s">
        <v>792</v>
      </c>
      <c r="B233" s="348" t="s">
        <v>561</v>
      </c>
      <c r="C233" s="343">
        <v>91996</v>
      </c>
      <c r="D233" s="308" t="s">
        <v>647</v>
      </c>
      <c r="E233" s="365">
        <v>1</v>
      </c>
      <c r="F233" s="309" t="s">
        <v>556</v>
      </c>
      <c r="G233" s="110">
        <f t="shared" si="42"/>
        <v>3.24</v>
      </c>
      <c r="H233" s="110">
        <f t="shared" si="43"/>
        <v>18.36</v>
      </c>
      <c r="I233" s="34">
        <f t="shared" si="44"/>
        <v>21.6</v>
      </c>
      <c r="J233" s="34">
        <f t="shared" si="45"/>
        <v>21.6</v>
      </c>
      <c r="K233" s="265">
        <f t="shared" si="46"/>
        <v>1.0521381655003826E-05</v>
      </c>
      <c r="M233" s="177">
        <v>21.6</v>
      </c>
    </row>
    <row r="234" spans="1:13" ht="22.5">
      <c r="A234" s="564" t="s">
        <v>793</v>
      </c>
      <c r="B234" s="348" t="s">
        <v>561</v>
      </c>
      <c r="C234" s="343">
        <v>92004</v>
      </c>
      <c r="D234" s="312" t="s">
        <v>779</v>
      </c>
      <c r="E234" s="365">
        <v>2</v>
      </c>
      <c r="F234" s="309" t="s">
        <v>556</v>
      </c>
      <c r="G234" s="110">
        <f t="shared" si="42"/>
        <v>5.242500000000001</v>
      </c>
      <c r="H234" s="110">
        <f t="shared" si="43"/>
        <v>29.707500000000003</v>
      </c>
      <c r="I234" s="34">
        <f t="shared" si="44"/>
        <v>34.95</v>
      </c>
      <c r="J234" s="34">
        <f t="shared" si="45"/>
        <v>69.9</v>
      </c>
      <c r="K234" s="265">
        <f t="shared" si="46"/>
        <v>3.4048360077998495E-05</v>
      </c>
      <c r="M234" s="177">
        <v>34.95</v>
      </c>
    </row>
    <row r="235" spans="1:13" ht="11.25">
      <c r="A235" s="564" t="s">
        <v>794</v>
      </c>
      <c r="B235" s="348" t="s">
        <v>561</v>
      </c>
      <c r="C235" s="343">
        <v>91992</v>
      </c>
      <c r="D235" s="308" t="s">
        <v>648</v>
      </c>
      <c r="E235" s="397">
        <v>4</v>
      </c>
      <c r="F235" s="313" t="s">
        <v>556</v>
      </c>
      <c r="G235" s="110">
        <f t="shared" si="42"/>
        <v>4.149</v>
      </c>
      <c r="H235" s="110">
        <f t="shared" si="43"/>
        <v>23.511</v>
      </c>
      <c r="I235" s="34">
        <f t="shared" si="44"/>
        <v>27.66</v>
      </c>
      <c r="J235" s="34">
        <f t="shared" si="45"/>
        <v>110.64</v>
      </c>
      <c r="K235" s="265">
        <f t="shared" si="46"/>
        <v>5.389285492174182E-05</v>
      </c>
      <c r="M235" s="177">
        <v>27.66</v>
      </c>
    </row>
    <row r="236" spans="1:11" ht="11.25">
      <c r="A236" s="564" t="s">
        <v>795</v>
      </c>
      <c r="B236" s="348"/>
      <c r="C236" s="444"/>
      <c r="D236" s="332" t="s">
        <v>649</v>
      </c>
      <c r="E236" s="398"/>
      <c r="F236" s="333"/>
      <c r="G236" s="110">
        <f t="shared" si="42"/>
        <v>0</v>
      </c>
      <c r="H236" s="110">
        <f t="shared" si="43"/>
        <v>0</v>
      </c>
      <c r="I236" s="34">
        <f t="shared" si="44"/>
        <v>0</v>
      </c>
      <c r="J236" s="34">
        <f t="shared" si="45"/>
        <v>0</v>
      </c>
      <c r="K236" s="265">
        <f t="shared" si="46"/>
        <v>0</v>
      </c>
    </row>
    <row r="237" spans="1:13" ht="33.75">
      <c r="A237" s="564" t="s">
        <v>796</v>
      </c>
      <c r="B237" s="289" t="s">
        <v>561</v>
      </c>
      <c r="C237" s="289" t="s">
        <v>835</v>
      </c>
      <c r="D237" s="351" t="s">
        <v>780</v>
      </c>
      <c r="E237" s="365">
        <v>1</v>
      </c>
      <c r="F237" s="309" t="s">
        <v>556</v>
      </c>
      <c r="G237" s="110">
        <f t="shared" si="42"/>
        <v>7.126499999999999</v>
      </c>
      <c r="H237" s="110">
        <f t="shared" si="43"/>
        <v>40.3835</v>
      </c>
      <c r="I237" s="34">
        <f t="shared" si="44"/>
        <v>47.51</v>
      </c>
      <c r="J237" s="34">
        <f t="shared" si="45"/>
        <v>47.51</v>
      </c>
      <c r="K237" s="265">
        <f t="shared" si="46"/>
        <v>2.3142168630982953E-05</v>
      </c>
      <c r="M237" s="177">
        <v>47.51</v>
      </c>
    </row>
    <row r="238" spans="1:13" ht="33.75">
      <c r="A238" s="564" t="s">
        <v>797</v>
      </c>
      <c r="B238" s="289" t="s">
        <v>561</v>
      </c>
      <c r="C238" s="289" t="s">
        <v>836</v>
      </c>
      <c r="D238" s="351" t="s">
        <v>781</v>
      </c>
      <c r="E238" s="365">
        <v>1</v>
      </c>
      <c r="F238" s="309" t="s">
        <v>556</v>
      </c>
      <c r="G238" s="110">
        <f t="shared" si="42"/>
        <v>25.340999999999998</v>
      </c>
      <c r="H238" s="110">
        <f t="shared" si="43"/>
        <v>143.599</v>
      </c>
      <c r="I238" s="34">
        <f t="shared" si="44"/>
        <v>168.94</v>
      </c>
      <c r="J238" s="34">
        <f t="shared" si="45"/>
        <v>168.94</v>
      </c>
      <c r="K238" s="265">
        <f t="shared" si="46"/>
        <v>8.229084337020122E-05</v>
      </c>
      <c r="M238" s="177">
        <v>168.94</v>
      </c>
    </row>
    <row r="239" spans="1:13" ht="33.75">
      <c r="A239" s="564" t="s">
        <v>798</v>
      </c>
      <c r="B239" s="289" t="s">
        <v>561</v>
      </c>
      <c r="C239" s="289" t="s">
        <v>837</v>
      </c>
      <c r="D239" s="351" t="s">
        <v>782</v>
      </c>
      <c r="E239" s="365">
        <v>2</v>
      </c>
      <c r="F239" s="309" t="s">
        <v>556</v>
      </c>
      <c r="G239" s="110">
        <f t="shared" si="42"/>
        <v>62.879999999999995</v>
      </c>
      <c r="H239" s="110">
        <f t="shared" si="43"/>
        <v>356.32</v>
      </c>
      <c r="I239" s="34">
        <f t="shared" si="44"/>
        <v>419.2</v>
      </c>
      <c r="J239" s="34">
        <f t="shared" si="45"/>
        <v>838.4</v>
      </c>
      <c r="K239" s="265">
        <f t="shared" si="46"/>
        <v>0.0004083854805349633</v>
      </c>
      <c r="M239" s="177">
        <v>419.2</v>
      </c>
    </row>
    <row r="240" spans="1:13" ht="11.25">
      <c r="A240" s="564" t="s">
        <v>799</v>
      </c>
      <c r="B240" s="289" t="s">
        <v>561</v>
      </c>
      <c r="C240" s="269" t="s">
        <v>632</v>
      </c>
      <c r="D240" s="316" t="s">
        <v>630</v>
      </c>
      <c r="E240" s="397">
        <v>120</v>
      </c>
      <c r="F240" s="317" t="s">
        <v>556</v>
      </c>
      <c r="G240" s="110">
        <f t="shared" si="42"/>
        <v>2.2784999999999997</v>
      </c>
      <c r="H240" s="110">
        <f t="shared" si="43"/>
        <v>12.911499999999998</v>
      </c>
      <c r="I240" s="34">
        <f t="shared" si="44"/>
        <v>15.189999999999998</v>
      </c>
      <c r="J240" s="34">
        <f t="shared" si="45"/>
        <v>1822.7999999999997</v>
      </c>
      <c r="K240" s="265">
        <f t="shared" si="46"/>
        <v>0.0008878877074417116</v>
      </c>
      <c r="M240" s="177">
        <v>15.19</v>
      </c>
    </row>
    <row r="241" spans="1:13" ht="11.25">
      <c r="A241" s="564" t="s">
        <v>800</v>
      </c>
      <c r="B241" s="289" t="s">
        <v>561</v>
      </c>
      <c r="C241" s="269" t="s">
        <v>633</v>
      </c>
      <c r="D241" s="316" t="s">
        <v>631</v>
      </c>
      <c r="E241" s="397">
        <v>75</v>
      </c>
      <c r="F241" s="317" t="s">
        <v>556</v>
      </c>
      <c r="G241" s="110">
        <f t="shared" si="42"/>
        <v>1.6424999999999998</v>
      </c>
      <c r="H241" s="110">
        <f t="shared" si="43"/>
        <v>9.3075</v>
      </c>
      <c r="I241" s="34">
        <f t="shared" si="44"/>
        <v>10.95</v>
      </c>
      <c r="J241" s="34">
        <f t="shared" si="45"/>
        <v>821.25</v>
      </c>
      <c r="K241" s="265">
        <f t="shared" si="46"/>
        <v>0.0004000316983412913</v>
      </c>
      <c r="M241" s="177">
        <v>10.95</v>
      </c>
    </row>
    <row r="242" spans="1:13" ht="22.5">
      <c r="A242" s="564" t="s">
        <v>801</v>
      </c>
      <c r="B242" s="289" t="s">
        <v>561</v>
      </c>
      <c r="C242" s="343">
        <v>91936</v>
      </c>
      <c r="D242" s="308" t="s">
        <v>651</v>
      </c>
      <c r="E242" s="365">
        <v>88</v>
      </c>
      <c r="F242" s="309" t="s">
        <v>556</v>
      </c>
      <c r="G242" s="110">
        <f t="shared" si="42"/>
        <v>1.2495</v>
      </c>
      <c r="H242" s="110">
        <f t="shared" si="43"/>
        <v>7.0805</v>
      </c>
      <c r="I242" s="34">
        <f t="shared" si="44"/>
        <v>8.33</v>
      </c>
      <c r="J242" s="34">
        <f t="shared" si="45"/>
        <v>733.04</v>
      </c>
      <c r="K242" s="265">
        <f t="shared" si="46"/>
        <v>0.00035706451890666686</v>
      </c>
      <c r="M242" s="177">
        <v>8.33</v>
      </c>
    </row>
    <row r="243" spans="1:13" ht="22.5">
      <c r="A243" s="564" t="s">
        <v>802</v>
      </c>
      <c r="B243" s="348" t="s">
        <v>561</v>
      </c>
      <c r="C243" s="284">
        <v>91940</v>
      </c>
      <c r="D243" s="318" t="s">
        <v>652</v>
      </c>
      <c r="E243" s="399">
        <v>14</v>
      </c>
      <c r="F243" s="319" t="s">
        <v>556</v>
      </c>
      <c r="G243" s="110">
        <f t="shared" si="42"/>
        <v>1.44</v>
      </c>
      <c r="H243" s="110">
        <f t="shared" si="43"/>
        <v>8.16</v>
      </c>
      <c r="I243" s="34">
        <f t="shared" si="44"/>
        <v>9.6</v>
      </c>
      <c r="J243" s="34">
        <f t="shared" si="45"/>
        <v>134.4</v>
      </c>
      <c r="K243" s="265">
        <f t="shared" si="46"/>
        <v>6.546637474224604E-05</v>
      </c>
      <c r="M243" s="177">
        <v>9.6</v>
      </c>
    </row>
    <row r="244" spans="1:11" ht="11.25">
      <c r="A244" s="445"/>
      <c r="B244" s="348"/>
      <c r="C244" s="444"/>
      <c r="D244" s="332" t="s">
        <v>656</v>
      </c>
      <c r="E244" s="398"/>
      <c r="F244" s="333"/>
      <c r="G244" s="110">
        <f t="shared" si="42"/>
        <v>0</v>
      </c>
      <c r="H244" s="110">
        <f t="shared" si="43"/>
        <v>0</v>
      </c>
      <c r="I244" s="34">
        <f t="shared" si="44"/>
        <v>0</v>
      </c>
      <c r="J244" s="34">
        <f t="shared" si="45"/>
        <v>0</v>
      </c>
      <c r="K244" s="265">
        <f t="shared" si="46"/>
        <v>0</v>
      </c>
    </row>
    <row r="245" spans="1:13" ht="22.5">
      <c r="A245" s="564" t="s">
        <v>803</v>
      </c>
      <c r="B245" s="228" t="s">
        <v>561</v>
      </c>
      <c r="C245" s="347">
        <v>91834</v>
      </c>
      <c r="D245" s="316" t="s">
        <v>657</v>
      </c>
      <c r="E245" s="397">
        <v>500</v>
      </c>
      <c r="F245" s="18" t="s">
        <v>194</v>
      </c>
      <c r="G245" s="110">
        <f t="shared" si="42"/>
        <v>0.49799999999999994</v>
      </c>
      <c r="H245" s="110">
        <f t="shared" si="43"/>
        <v>2.8219999999999996</v>
      </c>
      <c r="I245" s="34">
        <f t="shared" si="44"/>
        <v>3.3199999999999994</v>
      </c>
      <c r="J245" s="34">
        <f t="shared" si="45"/>
        <v>1659.9999999999998</v>
      </c>
      <c r="K245" s="265">
        <f t="shared" si="46"/>
        <v>0.0008085876642271458</v>
      </c>
      <c r="M245" s="177">
        <v>3.32</v>
      </c>
    </row>
    <row r="246" spans="1:13" ht="22.5">
      <c r="A246" s="564" t="s">
        <v>804</v>
      </c>
      <c r="B246" s="228" t="s">
        <v>561</v>
      </c>
      <c r="C246" s="347">
        <v>91871</v>
      </c>
      <c r="D246" s="316" t="s">
        <v>658</v>
      </c>
      <c r="E246" s="397">
        <v>1000</v>
      </c>
      <c r="F246" s="18" t="s">
        <v>194</v>
      </c>
      <c r="G246" s="110">
        <f t="shared" si="42"/>
        <v>1.1024999999999998</v>
      </c>
      <c r="H246" s="110">
        <f t="shared" si="43"/>
        <v>6.2475</v>
      </c>
      <c r="I246" s="34">
        <f t="shared" si="44"/>
        <v>7.35</v>
      </c>
      <c r="J246" s="34">
        <f t="shared" si="45"/>
        <v>7350</v>
      </c>
      <c r="K246" s="265">
        <f t="shared" si="46"/>
        <v>0.0035801923687165797</v>
      </c>
      <c r="M246" s="177">
        <v>7.35</v>
      </c>
    </row>
    <row r="247" spans="1:11" ht="11.25">
      <c r="A247" s="564" t="s">
        <v>805</v>
      </c>
      <c r="B247" s="348" t="s">
        <v>560</v>
      </c>
      <c r="C247" s="348">
        <v>71207</v>
      </c>
      <c r="D247" s="322" t="s">
        <v>783</v>
      </c>
      <c r="E247" s="401">
        <v>12</v>
      </c>
      <c r="F247" s="323" t="s">
        <v>194</v>
      </c>
      <c r="G247" s="320">
        <v>22.55</v>
      </c>
      <c r="H247" s="311">
        <v>16.99</v>
      </c>
      <c r="I247" s="320">
        <f>G247+H247</f>
        <v>39.54</v>
      </c>
      <c r="J247" s="320">
        <f aca="true" t="shared" si="47" ref="J247:J253">I247*E247</f>
        <v>474.48</v>
      </c>
      <c r="K247" s="265">
        <f aca="true" t="shared" si="48" ref="K247:K282">J247/$J$633</f>
        <v>0.00023111968368825071</v>
      </c>
    </row>
    <row r="248" spans="1:11" ht="11.25">
      <c r="A248" s="564" t="s">
        <v>806</v>
      </c>
      <c r="B248" s="348" t="s">
        <v>560</v>
      </c>
      <c r="C248" s="348">
        <v>71208</v>
      </c>
      <c r="D248" s="322" t="s">
        <v>660</v>
      </c>
      <c r="E248" s="401">
        <v>12</v>
      </c>
      <c r="F248" s="323" t="s">
        <v>194</v>
      </c>
      <c r="G248" s="320">
        <v>28.19</v>
      </c>
      <c r="H248" s="311">
        <v>24.96</v>
      </c>
      <c r="I248" s="320">
        <f>G248+H248</f>
        <v>53.150000000000006</v>
      </c>
      <c r="J248" s="320">
        <f t="shared" si="47"/>
        <v>637.8000000000001</v>
      </c>
      <c r="K248" s="265">
        <f t="shared" si="48"/>
        <v>0.00031067301942414076</v>
      </c>
    </row>
    <row r="249" spans="1:11" ht="11.25">
      <c r="A249" s="564" t="s">
        <v>807</v>
      </c>
      <c r="B249" s="523" t="s">
        <v>710</v>
      </c>
      <c r="C249" s="521"/>
      <c r="D249" s="322" t="s">
        <v>661</v>
      </c>
      <c r="E249" s="401">
        <v>6</v>
      </c>
      <c r="F249" s="323" t="s">
        <v>662</v>
      </c>
      <c r="G249" s="320">
        <f>0.3*I249</f>
        <v>36</v>
      </c>
      <c r="H249" s="311">
        <f>0.7*I249</f>
        <v>84</v>
      </c>
      <c r="I249" s="320">
        <v>120</v>
      </c>
      <c r="J249" s="320">
        <f t="shared" si="47"/>
        <v>720</v>
      </c>
      <c r="K249" s="265">
        <f t="shared" si="48"/>
        <v>0.0003507127218334609</v>
      </c>
    </row>
    <row r="250" spans="1:11" ht="11.25">
      <c r="A250" s="564" t="s">
        <v>808</v>
      </c>
      <c r="B250" s="523" t="s">
        <v>710</v>
      </c>
      <c r="C250" s="521"/>
      <c r="D250" s="316" t="s">
        <v>663</v>
      </c>
      <c r="E250" s="397">
        <v>2</v>
      </c>
      <c r="F250" s="314" t="s">
        <v>556</v>
      </c>
      <c r="G250" s="320">
        <f>(I250*0.3)</f>
        <v>6.273</v>
      </c>
      <c r="H250" s="311">
        <f>(I250*0.7)</f>
        <v>14.636999999999999</v>
      </c>
      <c r="I250" s="34">
        <v>20.91</v>
      </c>
      <c r="J250" s="34">
        <f t="shared" si="47"/>
        <v>41.82</v>
      </c>
      <c r="K250" s="265">
        <f t="shared" si="48"/>
        <v>2.0370563926493518E-05</v>
      </c>
    </row>
    <row r="251" spans="1:11" ht="11.25">
      <c r="A251" s="564" t="s">
        <v>809</v>
      </c>
      <c r="B251" s="523" t="s">
        <v>710</v>
      </c>
      <c r="C251" s="521"/>
      <c r="D251" s="316" t="s">
        <v>664</v>
      </c>
      <c r="E251" s="397">
        <v>23</v>
      </c>
      <c r="F251" s="314" t="s">
        <v>556</v>
      </c>
      <c r="G251" s="320">
        <f>(I251*0.3)</f>
        <v>6.273</v>
      </c>
      <c r="H251" s="311">
        <f>(I251*0.7)</f>
        <v>14.636999999999999</v>
      </c>
      <c r="I251" s="34">
        <v>20.91</v>
      </c>
      <c r="J251" s="34">
        <f t="shared" si="47"/>
        <v>480.93</v>
      </c>
      <c r="K251" s="265">
        <f t="shared" si="48"/>
        <v>0.00023426148515467548</v>
      </c>
    </row>
    <row r="252" spans="1:11" ht="11.25">
      <c r="A252" s="564" t="s">
        <v>810</v>
      </c>
      <c r="B252" s="523" t="s">
        <v>710</v>
      </c>
      <c r="C252" s="521"/>
      <c r="D252" s="316" t="s">
        <v>665</v>
      </c>
      <c r="E252" s="397">
        <v>2</v>
      </c>
      <c r="F252" s="314" t="s">
        <v>556</v>
      </c>
      <c r="G252" s="320">
        <f>(I252*0.3)</f>
        <v>5.64</v>
      </c>
      <c r="H252" s="311">
        <f>(I252*0.7)</f>
        <v>13.16</v>
      </c>
      <c r="I252" s="34">
        <v>18.8</v>
      </c>
      <c r="J252" s="34">
        <f t="shared" si="47"/>
        <v>37.6</v>
      </c>
      <c r="K252" s="265">
        <f t="shared" si="48"/>
        <v>1.8314997695747403E-05</v>
      </c>
    </row>
    <row r="253" spans="1:11" ht="11.25">
      <c r="A253" s="564" t="s">
        <v>811</v>
      </c>
      <c r="B253" s="522" t="s">
        <v>710</v>
      </c>
      <c r="C253" s="522"/>
      <c r="D253" s="316" t="s">
        <v>666</v>
      </c>
      <c r="E253" s="402"/>
      <c r="F253" s="18" t="s">
        <v>556</v>
      </c>
      <c r="G253" s="320">
        <v>0.54</v>
      </c>
      <c r="H253" s="311">
        <v>1.84</v>
      </c>
      <c r="I253" s="34">
        <f>H253+G253</f>
        <v>2.38</v>
      </c>
      <c r="J253" s="34">
        <f t="shared" si="47"/>
        <v>0</v>
      </c>
      <c r="K253" s="265">
        <f t="shared" si="48"/>
        <v>0</v>
      </c>
    </row>
    <row r="254" spans="1:11" ht="11.25">
      <c r="A254" s="445"/>
      <c r="B254" s="348"/>
      <c r="C254" s="444"/>
      <c r="D254" s="332" t="s">
        <v>667</v>
      </c>
      <c r="E254" s="403"/>
      <c r="F254" s="336"/>
      <c r="G254" s="335"/>
      <c r="H254" s="335"/>
      <c r="I254" s="335"/>
      <c r="J254" s="335"/>
      <c r="K254" s="265">
        <f t="shared" si="48"/>
        <v>0</v>
      </c>
    </row>
    <row r="255" spans="1:13" ht="11.25">
      <c r="A255" s="564" t="s">
        <v>812</v>
      </c>
      <c r="B255" s="348" t="s">
        <v>561</v>
      </c>
      <c r="C255" s="349" t="s">
        <v>711</v>
      </c>
      <c r="D255" s="324" t="s">
        <v>668</v>
      </c>
      <c r="E255" s="365">
        <v>49</v>
      </c>
      <c r="F255" s="325" t="s">
        <v>556</v>
      </c>
      <c r="G255" s="110">
        <f>M255*0.15</f>
        <v>1.7205000000000001</v>
      </c>
      <c r="H255" s="110">
        <f>M255*0.85</f>
        <v>9.749500000000001</v>
      </c>
      <c r="I255" s="34">
        <f>G255+H255</f>
        <v>11.47</v>
      </c>
      <c r="J255" s="34">
        <f>I255*E255</f>
        <v>562.0300000000001</v>
      </c>
      <c r="K255" s="265">
        <f t="shared" si="48"/>
        <v>0.0002737653764611945</v>
      </c>
      <c r="M255" s="177">
        <v>11.47</v>
      </c>
    </row>
    <row r="256" spans="1:13" ht="11.25">
      <c r="A256" s="564" t="s">
        <v>813</v>
      </c>
      <c r="B256" s="348" t="s">
        <v>561</v>
      </c>
      <c r="C256" s="349" t="s">
        <v>713</v>
      </c>
      <c r="D256" s="326" t="s">
        <v>671</v>
      </c>
      <c r="E256" s="365">
        <v>1</v>
      </c>
      <c r="F256" s="325" t="s">
        <v>556</v>
      </c>
      <c r="G256" s="110">
        <f>M256*0.15</f>
        <v>11.3295</v>
      </c>
      <c r="H256" s="110">
        <f>M256*0.85</f>
        <v>64.2005</v>
      </c>
      <c r="I256" s="34">
        <f>G256+H256</f>
        <v>75.53</v>
      </c>
      <c r="J256" s="34">
        <f>I256*E256</f>
        <v>75.53</v>
      </c>
      <c r="K256" s="265">
        <f t="shared" si="48"/>
        <v>3.679073872233514E-05</v>
      </c>
      <c r="M256" s="177">
        <v>75.53</v>
      </c>
    </row>
    <row r="257" spans="1:13" ht="11.25">
      <c r="A257" s="564" t="s">
        <v>814</v>
      </c>
      <c r="B257" s="348" t="s">
        <v>561</v>
      </c>
      <c r="C257" s="349" t="s">
        <v>714</v>
      </c>
      <c r="D257" s="326" t="s">
        <v>672</v>
      </c>
      <c r="E257" s="365">
        <v>1</v>
      </c>
      <c r="F257" s="325" t="s">
        <v>556</v>
      </c>
      <c r="G257" s="110">
        <f>M257*0.15</f>
        <v>15.171</v>
      </c>
      <c r="H257" s="110">
        <f>M257*0.85</f>
        <v>85.969</v>
      </c>
      <c r="I257" s="34">
        <f>G257+H257</f>
        <v>101.13999999999999</v>
      </c>
      <c r="J257" s="34">
        <f>I257*E257</f>
        <v>101.13999999999999</v>
      </c>
      <c r="K257" s="265">
        <f t="shared" si="48"/>
        <v>4.926539539755032E-05</v>
      </c>
      <c r="M257" s="177">
        <v>101.14</v>
      </c>
    </row>
    <row r="258" spans="1:13" ht="11.25">
      <c r="A258" s="564" t="s">
        <v>815</v>
      </c>
      <c r="B258" s="348" t="s">
        <v>561</v>
      </c>
      <c r="C258" s="349" t="s">
        <v>714</v>
      </c>
      <c r="D258" s="326" t="s">
        <v>673</v>
      </c>
      <c r="E258" s="365">
        <v>1</v>
      </c>
      <c r="F258" s="325" t="s">
        <v>556</v>
      </c>
      <c r="G258" s="110">
        <f>M258*0.15</f>
        <v>15.171</v>
      </c>
      <c r="H258" s="110">
        <f>M258*0.85</f>
        <v>85.969</v>
      </c>
      <c r="I258" s="34">
        <f>G258+H258</f>
        <v>101.13999999999999</v>
      </c>
      <c r="J258" s="34">
        <f>I258*E258</f>
        <v>101.13999999999999</v>
      </c>
      <c r="K258" s="265">
        <f t="shared" si="48"/>
        <v>4.926539539755032E-05</v>
      </c>
      <c r="M258" s="177">
        <v>101.14</v>
      </c>
    </row>
    <row r="259" spans="1:11" ht="11.25">
      <c r="A259" s="564" t="s">
        <v>816</v>
      </c>
      <c r="B259" s="348" t="s">
        <v>560</v>
      </c>
      <c r="C259" s="350">
        <v>71455</v>
      </c>
      <c r="D259" s="326" t="s">
        <v>677</v>
      </c>
      <c r="E259" s="399">
        <v>4</v>
      </c>
      <c r="F259" s="325" t="s">
        <v>556</v>
      </c>
      <c r="G259" s="320">
        <v>28.19</v>
      </c>
      <c r="H259" s="320">
        <v>104.08</v>
      </c>
      <c r="I259" s="320">
        <f>H259+G259</f>
        <v>132.27</v>
      </c>
      <c r="J259" s="320">
        <f>I259*E259</f>
        <v>529.08</v>
      </c>
      <c r="K259" s="265">
        <f t="shared" si="48"/>
        <v>0.00025771539842728817</v>
      </c>
    </row>
    <row r="260" spans="1:11" ht="11.25">
      <c r="A260" s="445"/>
      <c r="B260" s="348"/>
      <c r="C260" s="444"/>
      <c r="D260" s="332" t="s">
        <v>678</v>
      </c>
      <c r="E260" s="398"/>
      <c r="F260" s="333"/>
      <c r="G260" s="334"/>
      <c r="H260" s="334"/>
      <c r="I260" s="320"/>
      <c r="J260" s="320"/>
      <c r="K260" s="265">
        <f t="shared" si="48"/>
        <v>0</v>
      </c>
    </row>
    <row r="261" spans="1:13" ht="22.5">
      <c r="A261" s="564" t="s">
        <v>817</v>
      </c>
      <c r="B261" s="348" t="s">
        <v>561</v>
      </c>
      <c r="C261" s="343">
        <v>91926</v>
      </c>
      <c r="D261" s="308" t="s">
        <v>679</v>
      </c>
      <c r="E261" s="365">
        <v>1500</v>
      </c>
      <c r="F261" s="309" t="s">
        <v>194</v>
      </c>
      <c r="G261" s="110">
        <f aca="true" t="shared" si="49" ref="G261:G278">M261*0.15</f>
        <v>0.41100000000000003</v>
      </c>
      <c r="H261" s="110">
        <f aca="true" t="shared" si="50" ref="H261:H278">M261*0.85</f>
        <v>2.329</v>
      </c>
      <c r="I261" s="34">
        <f aca="true" t="shared" si="51" ref="I261:I278">G261+H261</f>
        <v>2.74</v>
      </c>
      <c r="J261" s="34">
        <f aca="true" t="shared" si="52" ref="J261:J278">I261*E261</f>
        <v>4110</v>
      </c>
      <c r="K261" s="265">
        <f t="shared" si="48"/>
        <v>0.0020019851204660056</v>
      </c>
      <c r="M261" s="177">
        <v>2.74</v>
      </c>
    </row>
    <row r="262" spans="1:13" ht="22.5">
      <c r="A262" s="564" t="s">
        <v>818</v>
      </c>
      <c r="B262" s="348" t="s">
        <v>561</v>
      </c>
      <c r="C262" s="343">
        <v>91926</v>
      </c>
      <c r="D262" s="308" t="s">
        <v>680</v>
      </c>
      <c r="E262" s="365">
        <v>1500</v>
      </c>
      <c r="F262" s="309" t="s">
        <v>194</v>
      </c>
      <c r="G262" s="110">
        <f t="shared" si="49"/>
        <v>0.41100000000000003</v>
      </c>
      <c r="H262" s="110">
        <f t="shared" si="50"/>
        <v>2.329</v>
      </c>
      <c r="I262" s="34">
        <f t="shared" si="51"/>
        <v>2.74</v>
      </c>
      <c r="J262" s="34">
        <f t="shared" si="52"/>
        <v>4110</v>
      </c>
      <c r="K262" s="265">
        <f t="shared" si="48"/>
        <v>0.0020019851204660056</v>
      </c>
      <c r="M262" s="177">
        <v>2.74</v>
      </c>
    </row>
    <row r="263" spans="1:13" ht="22.5">
      <c r="A263" s="564" t="s">
        <v>819</v>
      </c>
      <c r="B263" s="348" t="s">
        <v>561</v>
      </c>
      <c r="C263" s="343">
        <v>91926</v>
      </c>
      <c r="D263" s="308" t="s">
        <v>681</v>
      </c>
      <c r="E263" s="365">
        <v>1500</v>
      </c>
      <c r="F263" s="325" t="s">
        <v>194</v>
      </c>
      <c r="G263" s="110">
        <f t="shared" si="49"/>
        <v>0.41100000000000003</v>
      </c>
      <c r="H263" s="110">
        <f t="shared" si="50"/>
        <v>2.329</v>
      </c>
      <c r="I263" s="34">
        <f t="shared" si="51"/>
        <v>2.74</v>
      </c>
      <c r="J263" s="34">
        <f t="shared" si="52"/>
        <v>4110</v>
      </c>
      <c r="K263" s="265">
        <f t="shared" si="48"/>
        <v>0.0020019851204660056</v>
      </c>
      <c r="M263" s="177">
        <v>2.74</v>
      </c>
    </row>
    <row r="264" spans="1:13" ht="22.5">
      <c r="A264" s="564" t="s">
        <v>820</v>
      </c>
      <c r="B264" s="348" t="s">
        <v>561</v>
      </c>
      <c r="C264" s="343">
        <v>91926</v>
      </c>
      <c r="D264" s="308" t="s">
        <v>682</v>
      </c>
      <c r="E264" s="365">
        <v>600</v>
      </c>
      <c r="F264" s="309" t="s">
        <v>194</v>
      </c>
      <c r="G264" s="110">
        <f t="shared" si="49"/>
        <v>0.41100000000000003</v>
      </c>
      <c r="H264" s="110">
        <f t="shared" si="50"/>
        <v>2.329</v>
      </c>
      <c r="I264" s="34">
        <f t="shared" si="51"/>
        <v>2.74</v>
      </c>
      <c r="J264" s="34">
        <f t="shared" si="52"/>
        <v>1644.0000000000002</v>
      </c>
      <c r="K264" s="265">
        <f t="shared" si="48"/>
        <v>0.0008007940481864024</v>
      </c>
      <c r="M264" s="177">
        <v>2.74</v>
      </c>
    </row>
    <row r="265" spans="1:13" ht="22.5">
      <c r="A265" s="564" t="s">
        <v>821</v>
      </c>
      <c r="B265" s="348" t="s">
        <v>561</v>
      </c>
      <c r="C265" s="348">
        <v>91931</v>
      </c>
      <c r="D265" s="322" t="s">
        <v>686</v>
      </c>
      <c r="E265" s="403">
        <v>50</v>
      </c>
      <c r="F265" s="323" t="s">
        <v>194</v>
      </c>
      <c r="G265" s="110">
        <f t="shared" si="49"/>
        <v>0.9555</v>
      </c>
      <c r="H265" s="110">
        <f t="shared" si="50"/>
        <v>5.4145</v>
      </c>
      <c r="I265" s="34">
        <f t="shared" si="51"/>
        <v>6.37</v>
      </c>
      <c r="J265" s="34">
        <f t="shared" si="52"/>
        <v>318.5</v>
      </c>
      <c r="K265" s="265">
        <f t="shared" si="48"/>
        <v>0.00015514166931105178</v>
      </c>
      <c r="M265" s="177">
        <v>6.37</v>
      </c>
    </row>
    <row r="266" spans="1:13" ht="22.5">
      <c r="A266" s="564" t="s">
        <v>822</v>
      </c>
      <c r="B266" s="348" t="s">
        <v>561</v>
      </c>
      <c r="C266" s="348">
        <v>91931</v>
      </c>
      <c r="D266" s="322" t="s">
        <v>687</v>
      </c>
      <c r="E266" s="403">
        <v>50</v>
      </c>
      <c r="F266" s="323" t="s">
        <v>194</v>
      </c>
      <c r="G266" s="110">
        <f t="shared" si="49"/>
        <v>0.9555</v>
      </c>
      <c r="H266" s="110">
        <f t="shared" si="50"/>
        <v>5.4145</v>
      </c>
      <c r="I266" s="34">
        <f t="shared" si="51"/>
        <v>6.37</v>
      </c>
      <c r="J266" s="34">
        <f t="shared" si="52"/>
        <v>318.5</v>
      </c>
      <c r="K266" s="265">
        <f t="shared" si="48"/>
        <v>0.00015514166931105178</v>
      </c>
      <c r="M266" s="177">
        <v>6.37</v>
      </c>
    </row>
    <row r="267" spans="1:13" ht="22.5">
      <c r="A267" s="564" t="s">
        <v>823</v>
      </c>
      <c r="B267" s="348" t="s">
        <v>561</v>
      </c>
      <c r="C267" s="348">
        <v>91931</v>
      </c>
      <c r="D267" s="322" t="s">
        <v>688</v>
      </c>
      <c r="E267" s="403">
        <v>150</v>
      </c>
      <c r="F267" s="323" t="s">
        <v>194</v>
      </c>
      <c r="G267" s="110">
        <f t="shared" si="49"/>
        <v>0.9555</v>
      </c>
      <c r="H267" s="110">
        <f t="shared" si="50"/>
        <v>5.4145</v>
      </c>
      <c r="I267" s="34">
        <f t="shared" si="51"/>
        <v>6.37</v>
      </c>
      <c r="J267" s="34">
        <f t="shared" si="52"/>
        <v>955.5</v>
      </c>
      <c r="K267" s="265">
        <f t="shared" si="48"/>
        <v>0.0004654250079331554</v>
      </c>
      <c r="M267" s="177">
        <v>6.37</v>
      </c>
    </row>
    <row r="268" spans="1:13" ht="22.5">
      <c r="A268" s="564" t="s">
        <v>824</v>
      </c>
      <c r="B268" s="348" t="s">
        <v>561</v>
      </c>
      <c r="C268" s="348">
        <v>92982</v>
      </c>
      <c r="D268" s="322" t="s">
        <v>691</v>
      </c>
      <c r="E268" s="403">
        <v>15</v>
      </c>
      <c r="F268" s="323" t="s">
        <v>194</v>
      </c>
      <c r="G268" s="110">
        <f t="shared" si="49"/>
        <v>1.461</v>
      </c>
      <c r="H268" s="110">
        <f t="shared" si="50"/>
        <v>8.279</v>
      </c>
      <c r="I268" s="34">
        <f t="shared" si="51"/>
        <v>9.74</v>
      </c>
      <c r="J268" s="34">
        <f t="shared" si="52"/>
        <v>146.1</v>
      </c>
      <c r="K268" s="265">
        <f t="shared" si="48"/>
        <v>7.116545647203976E-05</v>
      </c>
      <c r="M268" s="177">
        <v>9.74</v>
      </c>
    </row>
    <row r="269" spans="1:13" ht="22.5">
      <c r="A269" s="564" t="s">
        <v>825</v>
      </c>
      <c r="B269" s="348" t="s">
        <v>561</v>
      </c>
      <c r="C269" s="348">
        <v>92982</v>
      </c>
      <c r="D269" s="322" t="s">
        <v>689</v>
      </c>
      <c r="E269" s="403">
        <v>15</v>
      </c>
      <c r="F269" s="323" t="s">
        <v>194</v>
      </c>
      <c r="G269" s="110">
        <f t="shared" si="49"/>
        <v>1.461</v>
      </c>
      <c r="H269" s="110">
        <f t="shared" si="50"/>
        <v>8.279</v>
      </c>
      <c r="I269" s="34">
        <f t="shared" si="51"/>
        <v>9.74</v>
      </c>
      <c r="J269" s="34">
        <f t="shared" si="52"/>
        <v>146.1</v>
      </c>
      <c r="K269" s="265">
        <f t="shared" si="48"/>
        <v>7.116545647203976E-05</v>
      </c>
      <c r="M269" s="177">
        <v>9.74</v>
      </c>
    </row>
    <row r="270" spans="1:13" ht="22.5">
      <c r="A270" s="564" t="s">
        <v>826</v>
      </c>
      <c r="B270" s="348" t="s">
        <v>561</v>
      </c>
      <c r="C270" s="348">
        <v>92982</v>
      </c>
      <c r="D270" s="322" t="s">
        <v>690</v>
      </c>
      <c r="E270" s="403">
        <v>45</v>
      </c>
      <c r="F270" s="323" t="s">
        <v>194</v>
      </c>
      <c r="G270" s="110">
        <f t="shared" si="49"/>
        <v>1.461</v>
      </c>
      <c r="H270" s="110">
        <f t="shared" si="50"/>
        <v>8.279</v>
      </c>
      <c r="I270" s="34">
        <f t="shared" si="51"/>
        <v>9.74</v>
      </c>
      <c r="J270" s="34">
        <f t="shared" si="52"/>
        <v>438.3</v>
      </c>
      <c r="K270" s="265">
        <f t="shared" si="48"/>
        <v>0.0002134963694161193</v>
      </c>
      <c r="M270" s="177">
        <v>9.74</v>
      </c>
    </row>
    <row r="271" spans="1:13" ht="22.5">
      <c r="A271" s="564" t="s">
        <v>827</v>
      </c>
      <c r="B271" s="348" t="s">
        <v>561</v>
      </c>
      <c r="C271" s="348">
        <v>92982</v>
      </c>
      <c r="D271" s="322" t="s">
        <v>691</v>
      </c>
      <c r="E271" s="403">
        <v>15</v>
      </c>
      <c r="F271" s="323" t="s">
        <v>194</v>
      </c>
      <c r="G271" s="110">
        <f t="shared" si="49"/>
        <v>1.461</v>
      </c>
      <c r="H271" s="110">
        <f t="shared" si="50"/>
        <v>8.279</v>
      </c>
      <c r="I271" s="34">
        <f t="shared" si="51"/>
        <v>9.74</v>
      </c>
      <c r="J271" s="34">
        <f t="shared" si="52"/>
        <v>146.1</v>
      </c>
      <c r="K271" s="265">
        <f t="shared" si="48"/>
        <v>7.116545647203976E-05</v>
      </c>
      <c r="M271" s="177">
        <v>9.74</v>
      </c>
    </row>
    <row r="272" spans="1:13" ht="22.5">
      <c r="A272" s="564" t="s">
        <v>828</v>
      </c>
      <c r="B272" s="348" t="s">
        <v>561</v>
      </c>
      <c r="C272" s="348">
        <v>92984</v>
      </c>
      <c r="D272" s="322" t="s">
        <v>784</v>
      </c>
      <c r="E272" s="403">
        <v>15</v>
      </c>
      <c r="F272" s="323" t="s">
        <v>194</v>
      </c>
      <c r="G272" s="110">
        <f t="shared" si="49"/>
        <v>2.439</v>
      </c>
      <c r="H272" s="110">
        <f t="shared" si="50"/>
        <v>13.821000000000002</v>
      </c>
      <c r="I272" s="34">
        <f t="shared" si="51"/>
        <v>16.26</v>
      </c>
      <c r="J272" s="34">
        <f t="shared" si="52"/>
        <v>243.90000000000003</v>
      </c>
      <c r="K272" s="265">
        <f t="shared" si="48"/>
        <v>0.00011880393452108489</v>
      </c>
      <c r="M272" s="177">
        <v>16.26</v>
      </c>
    </row>
    <row r="273" spans="1:13" ht="22.5">
      <c r="A273" s="564" t="s">
        <v>829</v>
      </c>
      <c r="B273" s="348" t="s">
        <v>561</v>
      </c>
      <c r="C273" s="348">
        <v>92984</v>
      </c>
      <c r="D273" s="322" t="s">
        <v>785</v>
      </c>
      <c r="E273" s="403">
        <v>45</v>
      </c>
      <c r="F273" s="323" t="s">
        <v>194</v>
      </c>
      <c r="G273" s="110">
        <f t="shared" si="49"/>
        <v>2.439</v>
      </c>
      <c r="H273" s="110">
        <f t="shared" si="50"/>
        <v>13.821000000000002</v>
      </c>
      <c r="I273" s="34">
        <f t="shared" si="51"/>
        <v>16.26</v>
      </c>
      <c r="J273" s="34">
        <f t="shared" si="52"/>
        <v>731.7</v>
      </c>
      <c r="K273" s="265">
        <f t="shared" si="48"/>
        <v>0.0003564118035632546</v>
      </c>
      <c r="M273" s="177">
        <v>16.26</v>
      </c>
    </row>
    <row r="274" spans="1:11" ht="11.25">
      <c r="A274" s="445"/>
      <c r="B274" s="348"/>
      <c r="C274" s="444"/>
      <c r="D274" s="332" t="s">
        <v>697</v>
      </c>
      <c r="E274" s="398"/>
      <c r="F274" s="333"/>
      <c r="G274" s="110">
        <f t="shared" si="49"/>
        <v>0</v>
      </c>
      <c r="H274" s="110">
        <f t="shared" si="50"/>
        <v>0</v>
      </c>
      <c r="I274" s="34">
        <f t="shared" si="51"/>
        <v>0</v>
      </c>
      <c r="J274" s="34">
        <f t="shared" si="52"/>
        <v>0</v>
      </c>
      <c r="K274" s="265">
        <f t="shared" si="48"/>
        <v>0</v>
      </c>
    </row>
    <row r="275" spans="1:13" ht="11.25">
      <c r="A275" s="564" t="s">
        <v>830</v>
      </c>
      <c r="B275" s="348" t="s">
        <v>561</v>
      </c>
      <c r="C275" s="350">
        <v>91953</v>
      </c>
      <c r="D275" s="327" t="s">
        <v>698</v>
      </c>
      <c r="E275" s="365">
        <v>23</v>
      </c>
      <c r="F275" s="325" t="s">
        <v>556</v>
      </c>
      <c r="G275" s="110">
        <f t="shared" si="49"/>
        <v>3.0435</v>
      </c>
      <c r="H275" s="110">
        <f t="shared" si="50"/>
        <v>17.246499999999997</v>
      </c>
      <c r="I275" s="34">
        <f t="shared" si="51"/>
        <v>20.29</v>
      </c>
      <c r="J275" s="34">
        <f t="shared" si="52"/>
        <v>466.66999999999996</v>
      </c>
      <c r="K275" s="265">
        <f t="shared" si="48"/>
        <v>0.00022731542485836273</v>
      </c>
      <c r="M275" s="177">
        <v>20.29</v>
      </c>
    </row>
    <row r="276" spans="1:13" ht="11.25">
      <c r="A276" s="564" t="s">
        <v>831</v>
      </c>
      <c r="B276" s="348" t="s">
        <v>561</v>
      </c>
      <c r="C276" s="350">
        <v>91959</v>
      </c>
      <c r="D276" s="327" t="s">
        <v>699</v>
      </c>
      <c r="E276" s="365">
        <v>11</v>
      </c>
      <c r="F276" s="325" t="s">
        <v>556</v>
      </c>
      <c r="G276" s="110">
        <f t="shared" si="49"/>
        <v>4.857</v>
      </c>
      <c r="H276" s="110">
        <f t="shared" si="50"/>
        <v>27.523</v>
      </c>
      <c r="I276" s="34">
        <f t="shared" si="51"/>
        <v>32.38</v>
      </c>
      <c r="J276" s="34">
        <f t="shared" si="52"/>
        <v>356.18</v>
      </c>
      <c r="K276" s="265">
        <f t="shared" si="48"/>
        <v>0.00017349563508700292</v>
      </c>
      <c r="M276" s="177">
        <v>32.38</v>
      </c>
    </row>
    <row r="277" spans="1:13" ht="22.5">
      <c r="A277" s="564" t="s">
        <v>832</v>
      </c>
      <c r="B277" s="348" t="s">
        <v>561</v>
      </c>
      <c r="C277" s="350">
        <v>91955</v>
      </c>
      <c r="D277" s="328" t="s">
        <v>701</v>
      </c>
      <c r="E277" s="365">
        <v>3</v>
      </c>
      <c r="F277" s="325" t="s">
        <v>556</v>
      </c>
      <c r="G277" s="110">
        <f t="shared" si="49"/>
        <v>3.8339999999999996</v>
      </c>
      <c r="H277" s="110">
        <f t="shared" si="50"/>
        <v>21.726</v>
      </c>
      <c r="I277" s="34">
        <f t="shared" si="51"/>
        <v>25.56</v>
      </c>
      <c r="J277" s="34">
        <f t="shared" si="52"/>
        <v>76.67999999999999</v>
      </c>
      <c r="K277" s="265">
        <f t="shared" si="48"/>
        <v>3.735090487526358E-05</v>
      </c>
      <c r="M277" s="177">
        <v>25.56</v>
      </c>
    </row>
    <row r="278" spans="1:13" ht="22.5">
      <c r="A278" s="564" t="s">
        <v>833</v>
      </c>
      <c r="B278" s="348" t="s">
        <v>561</v>
      </c>
      <c r="C278" s="350">
        <v>91961</v>
      </c>
      <c r="D278" s="328" t="s">
        <v>786</v>
      </c>
      <c r="E278" s="365">
        <v>2</v>
      </c>
      <c r="F278" s="325" t="s">
        <v>556</v>
      </c>
      <c r="G278" s="110">
        <f t="shared" si="49"/>
        <v>6.432</v>
      </c>
      <c r="H278" s="110">
        <f t="shared" si="50"/>
        <v>36.448</v>
      </c>
      <c r="I278" s="34">
        <f t="shared" si="51"/>
        <v>42.88</v>
      </c>
      <c r="J278" s="34">
        <f t="shared" si="52"/>
        <v>85.76</v>
      </c>
      <c r="K278" s="265">
        <f t="shared" si="48"/>
        <v>4.177378197838556E-05</v>
      </c>
      <c r="M278" s="177">
        <v>42.88</v>
      </c>
    </row>
    <row r="279" spans="1:11" ht="11.25">
      <c r="A279" s="564"/>
      <c r="B279" s="348"/>
      <c r="C279" s="348"/>
      <c r="D279" s="332" t="s">
        <v>702</v>
      </c>
      <c r="E279" s="398"/>
      <c r="F279" s="333"/>
      <c r="G279" s="334"/>
      <c r="H279" s="334"/>
      <c r="I279" s="320"/>
      <c r="J279" s="320"/>
      <c r="K279" s="265">
        <f t="shared" si="48"/>
        <v>0</v>
      </c>
    </row>
    <row r="280" spans="1:11" ht="33.75">
      <c r="A280" s="564" t="s">
        <v>834</v>
      </c>
      <c r="B280" s="522" t="s">
        <v>710</v>
      </c>
      <c r="C280" s="522"/>
      <c r="D280" s="328" t="s">
        <v>703</v>
      </c>
      <c r="E280" s="365">
        <v>33</v>
      </c>
      <c r="F280" s="323" t="s">
        <v>556</v>
      </c>
      <c r="G280" s="320">
        <f>0.1765*H280</f>
        <v>6.177499999999999</v>
      </c>
      <c r="H280" s="310">
        <v>35</v>
      </c>
      <c r="I280" s="320">
        <f>H280+G280</f>
        <v>41.1775</v>
      </c>
      <c r="J280" s="329">
        <f>I280*E280</f>
        <v>1358.8575</v>
      </c>
      <c r="K280" s="265">
        <f t="shared" si="48"/>
        <v>0.0006619008505677946</v>
      </c>
    </row>
    <row r="281" spans="1:11" ht="56.25">
      <c r="A281" s="564" t="s">
        <v>844</v>
      </c>
      <c r="B281" s="522" t="s">
        <v>710</v>
      </c>
      <c r="C281" s="522"/>
      <c r="D281" s="330" t="s">
        <v>705</v>
      </c>
      <c r="E281" s="397">
        <v>8</v>
      </c>
      <c r="F281" s="18" t="s">
        <v>556</v>
      </c>
      <c r="G281" s="315">
        <f>I281*0.3</f>
        <v>12.564</v>
      </c>
      <c r="H281" s="315">
        <f>0.7*I281</f>
        <v>29.316</v>
      </c>
      <c r="I281" s="34">
        <v>41.88</v>
      </c>
      <c r="J281" s="110">
        <f>I281*E281</f>
        <v>335.04</v>
      </c>
      <c r="K281" s="265">
        <f t="shared" si="48"/>
        <v>0.00016319831989317047</v>
      </c>
    </row>
    <row r="282" spans="1:11" ht="11.25">
      <c r="A282" s="564" t="s">
        <v>845</v>
      </c>
      <c r="B282" s="522" t="s">
        <v>710</v>
      </c>
      <c r="C282" s="522"/>
      <c r="D282" s="331" t="s">
        <v>708</v>
      </c>
      <c r="E282" s="399">
        <v>17</v>
      </c>
      <c r="F282" s="323" t="s">
        <v>556</v>
      </c>
      <c r="G282" s="320">
        <f>0.1765*H282</f>
        <v>7.042349999999999</v>
      </c>
      <c r="H282" s="311">
        <v>39.9</v>
      </c>
      <c r="I282" s="320">
        <f>H282+G282</f>
        <v>46.94235</v>
      </c>
      <c r="J282" s="320">
        <f>I282*E282</f>
        <v>798.01995</v>
      </c>
      <c r="K282" s="265">
        <f t="shared" si="48"/>
        <v>0.00038871631769708657</v>
      </c>
    </row>
    <row r="283" spans="1:12" s="189" customFormat="1" ht="11.25">
      <c r="A283" s="228"/>
      <c r="B283" s="228"/>
      <c r="C283" s="129"/>
      <c r="D283" s="338" t="s">
        <v>600</v>
      </c>
      <c r="E283" s="365"/>
      <c r="F283" s="340"/>
      <c r="G283" s="341"/>
      <c r="H283" s="341"/>
      <c r="I283" s="110"/>
      <c r="J283" s="368">
        <f>SUM(J284:J335)</f>
        <v>45835.96295</v>
      </c>
      <c r="K283" s="43">
        <f>J283/$J$633</f>
        <v>0.02232674350562801</v>
      </c>
      <c r="L283" s="195"/>
    </row>
    <row r="284" spans="1:11" ht="11.25">
      <c r="A284" s="445"/>
      <c r="B284" s="186"/>
      <c r="C284" s="186"/>
      <c r="D284" s="332" t="s">
        <v>709</v>
      </c>
      <c r="E284" s="398"/>
      <c r="F284" s="352"/>
      <c r="G284" s="353"/>
      <c r="H284" s="353"/>
      <c r="I284" s="353"/>
      <c r="J284" s="353"/>
      <c r="K284" s="446"/>
    </row>
    <row r="285" spans="1:13" s="184" customFormat="1" ht="22.5">
      <c r="A285" s="445" t="s">
        <v>846</v>
      </c>
      <c r="B285" s="348" t="s">
        <v>561</v>
      </c>
      <c r="C285" s="343">
        <v>91996</v>
      </c>
      <c r="D285" s="308" t="s">
        <v>643</v>
      </c>
      <c r="E285" s="365">
        <v>3</v>
      </c>
      <c r="F285" s="309" t="s">
        <v>556</v>
      </c>
      <c r="G285" s="110">
        <f aca="true" t="shared" si="53" ref="G285:G292">M285*0.15</f>
        <v>3.24</v>
      </c>
      <c r="H285" s="110">
        <f aca="true" t="shared" si="54" ref="H285:H292">M285*0.85</f>
        <v>18.36</v>
      </c>
      <c r="I285" s="34">
        <f aca="true" t="shared" si="55" ref="I285:I292">G285+H285</f>
        <v>21.6</v>
      </c>
      <c r="J285" s="34">
        <f aca="true" t="shared" si="56" ref="J285:J292">I285*E285</f>
        <v>64.80000000000001</v>
      </c>
      <c r="K285" s="265">
        <f aca="true" t="shared" si="57" ref="K285:K292">J285/$J$633</f>
        <v>3.156414496501148E-05</v>
      </c>
      <c r="L285" s="183"/>
      <c r="M285" s="184">
        <v>21.6</v>
      </c>
    </row>
    <row r="286" spans="1:13" ht="22.5">
      <c r="A286" s="445" t="s">
        <v>847</v>
      </c>
      <c r="B286" s="348" t="s">
        <v>561</v>
      </c>
      <c r="C286" s="343">
        <v>92000</v>
      </c>
      <c r="D286" s="308" t="s">
        <v>645</v>
      </c>
      <c r="E286" s="365">
        <v>34</v>
      </c>
      <c r="F286" s="309" t="s">
        <v>556</v>
      </c>
      <c r="G286" s="110">
        <f t="shared" si="53"/>
        <v>2.8859999999999997</v>
      </c>
      <c r="H286" s="110">
        <f t="shared" si="54"/>
        <v>16.354</v>
      </c>
      <c r="I286" s="34">
        <f t="shared" si="55"/>
        <v>19.24</v>
      </c>
      <c r="J286" s="34">
        <f t="shared" si="56"/>
        <v>654.16</v>
      </c>
      <c r="K286" s="265">
        <f t="shared" si="57"/>
        <v>0.00031864199182580105</v>
      </c>
      <c r="M286" s="177">
        <v>19.24</v>
      </c>
    </row>
    <row r="287" spans="1:13" ht="22.5">
      <c r="A287" s="445" t="s">
        <v>848</v>
      </c>
      <c r="B287" s="348" t="s">
        <v>561</v>
      </c>
      <c r="C287" s="343">
        <v>91996</v>
      </c>
      <c r="D287" s="308" t="s">
        <v>647</v>
      </c>
      <c r="E287" s="365">
        <v>2</v>
      </c>
      <c r="F287" s="309" t="s">
        <v>556</v>
      </c>
      <c r="G287" s="110">
        <f t="shared" si="53"/>
        <v>3.24</v>
      </c>
      <c r="H287" s="110">
        <f t="shared" si="54"/>
        <v>18.36</v>
      </c>
      <c r="I287" s="34">
        <f t="shared" si="55"/>
        <v>21.6</v>
      </c>
      <c r="J287" s="34">
        <f t="shared" si="56"/>
        <v>43.2</v>
      </c>
      <c r="K287" s="265">
        <f t="shared" si="57"/>
        <v>2.1042763310007652E-05</v>
      </c>
      <c r="M287" s="177">
        <v>21.6</v>
      </c>
    </row>
    <row r="288" spans="1:13" ht="11.25">
      <c r="A288" s="445" t="s">
        <v>849</v>
      </c>
      <c r="B288" s="348" t="s">
        <v>561</v>
      </c>
      <c r="C288" s="343">
        <v>91992</v>
      </c>
      <c r="D288" s="308" t="s">
        <v>648</v>
      </c>
      <c r="E288" s="404">
        <v>13</v>
      </c>
      <c r="F288" s="309" t="s">
        <v>556</v>
      </c>
      <c r="G288" s="110">
        <f t="shared" si="53"/>
        <v>4.149</v>
      </c>
      <c r="H288" s="110">
        <f t="shared" si="54"/>
        <v>23.511</v>
      </c>
      <c r="I288" s="34">
        <f t="shared" si="55"/>
        <v>27.66</v>
      </c>
      <c r="J288" s="34">
        <f t="shared" si="56"/>
        <v>359.58</v>
      </c>
      <c r="K288" s="265">
        <f t="shared" si="57"/>
        <v>0.0001751517784956609</v>
      </c>
      <c r="M288" s="177">
        <v>27.66</v>
      </c>
    </row>
    <row r="289" spans="1:11" ht="11.25">
      <c r="A289" s="445"/>
      <c r="B289" s="348"/>
      <c r="C289" s="444"/>
      <c r="D289" s="332" t="s">
        <v>649</v>
      </c>
      <c r="E289" s="398"/>
      <c r="F289" s="333"/>
      <c r="G289" s="110">
        <f t="shared" si="53"/>
        <v>0</v>
      </c>
      <c r="H289" s="110">
        <f t="shared" si="54"/>
        <v>0</v>
      </c>
      <c r="I289" s="34">
        <f t="shared" si="55"/>
        <v>0</v>
      </c>
      <c r="J289" s="34">
        <f t="shared" si="56"/>
        <v>0</v>
      </c>
      <c r="K289" s="265">
        <f t="shared" si="57"/>
        <v>0</v>
      </c>
    </row>
    <row r="290" spans="1:13" ht="33.75">
      <c r="A290" s="445" t="s">
        <v>850</v>
      </c>
      <c r="B290" s="289" t="s">
        <v>561</v>
      </c>
      <c r="C290" s="289" t="s">
        <v>836</v>
      </c>
      <c r="D290" s="351" t="s">
        <v>781</v>
      </c>
      <c r="E290" s="365">
        <v>2</v>
      </c>
      <c r="F290" s="309" t="s">
        <v>556</v>
      </c>
      <c r="G290" s="110">
        <f t="shared" si="53"/>
        <v>25.340999999999998</v>
      </c>
      <c r="H290" s="110">
        <f t="shared" si="54"/>
        <v>143.599</v>
      </c>
      <c r="I290" s="34">
        <f t="shared" si="55"/>
        <v>168.94</v>
      </c>
      <c r="J290" s="34">
        <f t="shared" si="56"/>
        <v>337.88</v>
      </c>
      <c r="K290" s="265">
        <f t="shared" si="57"/>
        <v>0.00016458168674040243</v>
      </c>
      <c r="M290" s="177">
        <v>168.94</v>
      </c>
    </row>
    <row r="291" spans="1:13" ht="33.75">
      <c r="A291" s="445" t="s">
        <v>851</v>
      </c>
      <c r="B291" s="289" t="s">
        <v>561</v>
      </c>
      <c r="C291" s="289" t="s">
        <v>842</v>
      </c>
      <c r="D291" s="351" t="s">
        <v>838</v>
      </c>
      <c r="E291" s="365">
        <v>1</v>
      </c>
      <c r="F291" s="309" t="s">
        <v>556</v>
      </c>
      <c r="G291" s="110">
        <f t="shared" si="53"/>
        <v>40.6305</v>
      </c>
      <c r="H291" s="110">
        <f t="shared" si="54"/>
        <v>230.2395</v>
      </c>
      <c r="I291" s="34">
        <f t="shared" si="55"/>
        <v>270.87</v>
      </c>
      <c r="J291" s="34">
        <f t="shared" si="56"/>
        <v>270.87</v>
      </c>
      <c r="K291" s="265">
        <f t="shared" si="57"/>
        <v>0.00013194104855976326</v>
      </c>
      <c r="M291" s="177">
        <v>270.87</v>
      </c>
    </row>
    <row r="292" spans="1:13" ht="33.75">
      <c r="A292" s="445" t="s">
        <v>852</v>
      </c>
      <c r="B292" s="289" t="s">
        <v>561</v>
      </c>
      <c r="C292" s="289" t="s">
        <v>837</v>
      </c>
      <c r="D292" s="351" t="s">
        <v>839</v>
      </c>
      <c r="E292" s="365">
        <v>1</v>
      </c>
      <c r="F292" s="309" t="s">
        <v>556</v>
      </c>
      <c r="G292" s="110">
        <f t="shared" si="53"/>
        <v>62.879999999999995</v>
      </c>
      <c r="H292" s="110">
        <f t="shared" si="54"/>
        <v>356.32</v>
      </c>
      <c r="I292" s="34">
        <f t="shared" si="55"/>
        <v>419.2</v>
      </c>
      <c r="J292" s="34">
        <f t="shared" si="56"/>
        <v>419.2</v>
      </c>
      <c r="K292" s="265">
        <f t="shared" si="57"/>
        <v>0.00020419274026748166</v>
      </c>
      <c r="M292" s="177">
        <v>419.2</v>
      </c>
    </row>
    <row r="293" spans="1:11" ht="56.25">
      <c r="A293" s="445" t="s">
        <v>853</v>
      </c>
      <c r="B293" s="289" t="s">
        <v>710</v>
      </c>
      <c r="C293" s="289"/>
      <c r="D293" s="336" t="s">
        <v>840</v>
      </c>
      <c r="E293" s="404">
        <v>2</v>
      </c>
      <c r="F293" s="354" t="s">
        <v>556</v>
      </c>
      <c r="G293" s="355">
        <f>I293*0.15</f>
        <v>555</v>
      </c>
      <c r="H293" s="355">
        <f>I293*0.85</f>
        <v>3145</v>
      </c>
      <c r="I293" s="320">
        <v>3700</v>
      </c>
      <c r="J293" s="320">
        <f aca="true" t="shared" si="58" ref="J293:J300">I293*E293</f>
        <v>7400</v>
      </c>
      <c r="K293" s="265">
        <f aca="true" t="shared" si="59" ref="K293:K335">J293/$J$633</f>
        <v>0.003604547418843903</v>
      </c>
    </row>
    <row r="294" spans="1:13" ht="11.25">
      <c r="A294" s="445" t="s">
        <v>854</v>
      </c>
      <c r="B294" s="289" t="s">
        <v>561</v>
      </c>
      <c r="C294" s="362" t="s">
        <v>632</v>
      </c>
      <c r="D294" s="324" t="s">
        <v>630</v>
      </c>
      <c r="E294" s="404">
        <v>100</v>
      </c>
      <c r="F294" s="356" t="s">
        <v>556</v>
      </c>
      <c r="G294" s="110">
        <f aca="true" t="shared" si="60" ref="G294:G300">M294*0.15</f>
        <v>2.2784999999999997</v>
      </c>
      <c r="H294" s="110">
        <f aca="true" t="shared" si="61" ref="H294:H300">M294*0.85</f>
        <v>12.911499999999998</v>
      </c>
      <c r="I294" s="34">
        <f aca="true" t="shared" si="62" ref="I294:I300">G294+H294</f>
        <v>15.189999999999998</v>
      </c>
      <c r="J294" s="34">
        <f t="shared" si="58"/>
        <v>1518.9999999999998</v>
      </c>
      <c r="K294" s="265">
        <f t="shared" si="59"/>
        <v>0.000739906422868093</v>
      </c>
      <c r="M294" s="177">
        <v>15.19</v>
      </c>
    </row>
    <row r="295" spans="1:13" ht="11.25">
      <c r="A295" s="445" t="s">
        <v>855</v>
      </c>
      <c r="B295" s="289" t="s">
        <v>561</v>
      </c>
      <c r="C295" s="362" t="s">
        <v>633</v>
      </c>
      <c r="D295" s="324" t="s">
        <v>631</v>
      </c>
      <c r="E295" s="404">
        <v>70</v>
      </c>
      <c r="F295" s="356" t="s">
        <v>556</v>
      </c>
      <c r="G295" s="110">
        <f t="shared" si="60"/>
        <v>1.6424999999999998</v>
      </c>
      <c r="H295" s="110">
        <f t="shared" si="61"/>
        <v>9.3075</v>
      </c>
      <c r="I295" s="34">
        <f t="shared" si="62"/>
        <v>10.95</v>
      </c>
      <c r="J295" s="34">
        <f t="shared" si="58"/>
        <v>766.5</v>
      </c>
      <c r="K295" s="265">
        <f t="shared" si="59"/>
        <v>0.00037336291845187187</v>
      </c>
      <c r="M295" s="177">
        <v>10.95</v>
      </c>
    </row>
    <row r="296" spans="1:13" ht="22.5">
      <c r="A296" s="445" t="s">
        <v>856</v>
      </c>
      <c r="B296" s="289" t="s">
        <v>561</v>
      </c>
      <c r="C296" s="343">
        <v>91936</v>
      </c>
      <c r="D296" s="308" t="s">
        <v>651</v>
      </c>
      <c r="E296" s="365">
        <v>211</v>
      </c>
      <c r="F296" s="309" t="s">
        <v>556</v>
      </c>
      <c r="G296" s="110">
        <f t="shared" si="60"/>
        <v>1.2495</v>
      </c>
      <c r="H296" s="110">
        <f t="shared" si="61"/>
        <v>7.0805</v>
      </c>
      <c r="I296" s="34">
        <f t="shared" si="62"/>
        <v>8.33</v>
      </c>
      <c r="J296" s="34">
        <f t="shared" si="58"/>
        <v>1757.63</v>
      </c>
      <c r="K296" s="265">
        <f t="shared" si="59"/>
        <v>0.0008561433351057581</v>
      </c>
      <c r="M296" s="177">
        <v>8.33</v>
      </c>
    </row>
    <row r="297" spans="1:13" ht="22.5">
      <c r="A297" s="445" t="s">
        <v>857</v>
      </c>
      <c r="B297" s="348" t="s">
        <v>561</v>
      </c>
      <c r="C297" s="284">
        <v>91940</v>
      </c>
      <c r="D297" s="318" t="s">
        <v>652</v>
      </c>
      <c r="E297" s="399">
        <v>6</v>
      </c>
      <c r="F297" s="319" t="s">
        <v>556</v>
      </c>
      <c r="G297" s="110">
        <f t="shared" si="60"/>
        <v>1.44</v>
      </c>
      <c r="H297" s="110">
        <f t="shared" si="61"/>
        <v>8.16</v>
      </c>
      <c r="I297" s="34">
        <f t="shared" si="62"/>
        <v>9.6</v>
      </c>
      <c r="J297" s="34">
        <f t="shared" si="58"/>
        <v>57.599999999999994</v>
      </c>
      <c r="K297" s="265">
        <f t="shared" si="59"/>
        <v>2.8057017746676866E-05</v>
      </c>
      <c r="M297" s="177">
        <v>9.6</v>
      </c>
    </row>
    <row r="298" spans="1:11" ht="11.25">
      <c r="A298" s="445" t="s">
        <v>858</v>
      </c>
      <c r="B298" s="348"/>
      <c r="C298" s="444"/>
      <c r="D298" s="332" t="s">
        <v>656</v>
      </c>
      <c r="E298" s="398"/>
      <c r="F298" s="333"/>
      <c r="G298" s="110">
        <f t="shared" si="60"/>
        <v>0</v>
      </c>
      <c r="H298" s="110">
        <f t="shared" si="61"/>
        <v>0</v>
      </c>
      <c r="I298" s="34">
        <f t="shared" si="62"/>
        <v>0</v>
      </c>
      <c r="J298" s="34">
        <f t="shared" si="58"/>
        <v>0</v>
      </c>
      <c r="K298" s="265">
        <f t="shared" si="59"/>
        <v>0</v>
      </c>
    </row>
    <row r="299" spans="1:13" ht="22.5">
      <c r="A299" s="445" t="s">
        <v>859</v>
      </c>
      <c r="B299" s="349" t="s">
        <v>561</v>
      </c>
      <c r="C299" s="350">
        <v>91834</v>
      </c>
      <c r="D299" s="324" t="s">
        <v>657</v>
      </c>
      <c r="E299" s="404">
        <v>300</v>
      </c>
      <c r="F299" s="325" t="s">
        <v>194</v>
      </c>
      <c r="G299" s="110">
        <f t="shared" si="60"/>
        <v>0.49799999999999994</v>
      </c>
      <c r="H299" s="110">
        <f t="shared" si="61"/>
        <v>2.8219999999999996</v>
      </c>
      <c r="I299" s="34">
        <f t="shared" si="62"/>
        <v>3.3199999999999994</v>
      </c>
      <c r="J299" s="34">
        <f t="shared" si="58"/>
        <v>995.9999999999998</v>
      </c>
      <c r="K299" s="265">
        <f t="shared" si="59"/>
        <v>0.0004851525985362874</v>
      </c>
      <c r="M299" s="177">
        <v>3.32</v>
      </c>
    </row>
    <row r="300" spans="1:13" ht="22.5">
      <c r="A300" s="445" t="s">
        <v>860</v>
      </c>
      <c r="B300" s="349" t="s">
        <v>561</v>
      </c>
      <c r="C300" s="350">
        <v>91871</v>
      </c>
      <c r="D300" s="324" t="s">
        <v>658</v>
      </c>
      <c r="E300" s="404">
        <v>600</v>
      </c>
      <c r="F300" s="325" t="s">
        <v>194</v>
      </c>
      <c r="G300" s="110">
        <f t="shared" si="60"/>
        <v>1.1024999999999998</v>
      </c>
      <c r="H300" s="110">
        <f t="shared" si="61"/>
        <v>6.2475</v>
      </c>
      <c r="I300" s="34">
        <f t="shared" si="62"/>
        <v>7.35</v>
      </c>
      <c r="J300" s="34">
        <f t="shared" si="58"/>
        <v>4410</v>
      </c>
      <c r="K300" s="265">
        <f t="shared" si="59"/>
        <v>0.002148115421229948</v>
      </c>
      <c r="M300" s="177">
        <v>7.35</v>
      </c>
    </row>
    <row r="301" spans="1:11" ht="11.25">
      <c r="A301" s="445" t="s">
        <v>861</v>
      </c>
      <c r="B301" s="348" t="s">
        <v>560</v>
      </c>
      <c r="C301" s="348">
        <v>71207</v>
      </c>
      <c r="D301" s="322" t="s">
        <v>783</v>
      </c>
      <c r="E301" s="401">
        <v>50</v>
      </c>
      <c r="F301" s="323" t="s">
        <v>194</v>
      </c>
      <c r="G301" s="320">
        <v>22.55</v>
      </c>
      <c r="H301" s="357">
        <v>16.99</v>
      </c>
      <c r="I301" s="320">
        <f>G301+H301</f>
        <v>39.54</v>
      </c>
      <c r="J301" s="320">
        <f aca="true" t="shared" si="63" ref="J301:J308">I301*E301</f>
        <v>1977</v>
      </c>
      <c r="K301" s="265">
        <f t="shared" si="59"/>
        <v>0.0009629986820343779</v>
      </c>
    </row>
    <row r="302" spans="1:11" ht="11.25">
      <c r="A302" s="445" t="s">
        <v>862</v>
      </c>
      <c r="B302" s="522" t="s">
        <v>710</v>
      </c>
      <c r="C302" s="522"/>
      <c r="D302" s="322" t="s">
        <v>661</v>
      </c>
      <c r="E302" s="401">
        <v>5</v>
      </c>
      <c r="F302" s="323" t="s">
        <v>662</v>
      </c>
      <c r="G302" s="320">
        <v>23.85</v>
      </c>
      <c r="H302" s="320">
        <v>79.45</v>
      </c>
      <c r="I302" s="320">
        <f>G302+H302</f>
        <v>103.30000000000001</v>
      </c>
      <c r="J302" s="320">
        <f t="shared" si="63"/>
        <v>516.5</v>
      </c>
      <c r="K302" s="265">
        <f t="shared" si="59"/>
        <v>0.0002515876678152535</v>
      </c>
    </row>
    <row r="303" spans="1:11" ht="11.25">
      <c r="A303" s="445" t="s">
        <v>863</v>
      </c>
      <c r="B303" s="522" t="s">
        <v>710</v>
      </c>
      <c r="C303" s="522"/>
      <c r="D303" s="324" t="s">
        <v>663</v>
      </c>
      <c r="E303" s="404">
        <v>2</v>
      </c>
      <c r="F303" s="354" t="s">
        <v>556</v>
      </c>
      <c r="G303" s="355">
        <v>4.7</v>
      </c>
      <c r="H303" s="355">
        <v>14.7</v>
      </c>
      <c r="I303" s="320">
        <v>20.91</v>
      </c>
      <c r="J303" s="320">
        <f t="shared" si="63"/>
        <v>41.82</v>
      </c>
      <c r="K303" s="265">
        <f t="shared" si="59"/>
        <v>2.0370563926493518E-05</v>
      </c>
    </row>
    <row r="304" spans="1:11" ht="11.25">
      <c r="A304" s="445" t="s">
        <v>864</v>
      </c>
      <c r="B304" s="522" t="s">
        <v>710</v>
      </c>
      <c r="C304" s="522"/>
      <c r="D304" s="324" t="s">
        <v>665</v>
      </c>
      <c r="E304" s="404">
        <v>2</v>
      </c>
      <c r="F304" s="354" t="s">
        <v>556</v>
      </c>
      <c r="G304" s="357">
        <v>4.7</v>
      </c>
      <c r="H304" s="357">
        <v>15.62</v>
      </c>
      <c r="I304" s="320">
        <f>G304+H304</f>
        <v>20.32</v>
      </c>
      <c r="J304" s="320">
        <f t="shared" si="63"/>
        <v>40.64</v>
      </c>
      <c r="K304" s="265">
        <f t="shared" si="59"/>
        <v>1.979578474348868E-05</v>
      </c>
    </row>
    <row r="305" spans="1:11" ht="22.5">
      <c r="A305" s="445" t="s">
        <v>865</v>
      </c>
      <c r="B305" s="522" t="s">
        <v>710</v>
      </c>
      <c r="C305" s="522"/>
      <c r="D305" s="358" t="s">
        <v>601</v>
      </c>
      <c r="E305" s="403">
        <v>10</v>
      </c>
      <c r="F305" s="323" t="s">
        <v>662</v>
      </c>
      <c r="G305" s="320">
        <v>7.94</v>
      </c>
      <c r="H305" s="320">
        <v>46.46</v>
      </c>
      <c r="I305" s="320">
        <f>G305+H305</f>
        <v>54.4</v>
      </c>
      <c r="J305" s="359">
        <f>SUM(I305*E305)</f>
        <v>544</v>
      </c>
      <c r="K305" s="265">
        <f t="shared" si="59"/>
        <v>0.00026498294538528154</v>
      </c>
    </row>
    <row r="306" spans="1:11" ht="11.25">
      <c r="A306" s="445" t="s">
        <v>866</v>
      </c>
      <c r="B306" s="522" t="s">
        <v>710</v>
      </c>
      <c r="C306" s="522"/>
      <c r="D306" s="358" t="s">
        <v>604</v>
      </c>
      <c r="E306" s="403">
        <v>7</v>
      </c>
      <c r="F306" s="360" t="s">
        <v>556</v>
      </c>
      <c r="G306" s="320">
        <v>0.85</v>
      </c>
      <c r="H306" s="320">
        <v>4.47</v>
      </c>
      <c r="I306" s="320">
        <v>4.47</v>
      </c>
      <c r="J306" s="359">
        <f>SUM(I306*E306)</f>
        <v>31.29</v>
      </c>
      <c r="K306" s="265">
        <f t="shared" si="59"/>
        <v>1.5241390369679153E-05</v>
      </c>
    </row>
    <row r="307" spans="1:11" ht="11.25">
      <c r="A307" s="445" t="s">
        <v>867</v>
      </c>
      <c r="B307" s="522" t="s">
        <v>710</v>
      </c>
      <c r="C307" s="522"/>
      <c r="D307" s="358" t="s">
        <v>603</v>
      </c>
      <c r="E307" s="403">
        <v>2</v>
      </c>
      <c r="F307" s="360" t="s">
        <v>556</v>
      </c>
      <c r="G307" s="320">
        <v>0.85</v>
      </c>
      <c r="H307" s="320">
        <v>2.35</v>
      </c>
      <c r="I307" s="320">
        <f>G307+H307</f>
        <v>3.2</v>
      </c>
      <c r="J307" s="359">
        <f>SUM(I307*E307)</f>
        <v>6.4</v>
      </c>
      <c r="K307" s="265">
        <f t="shared" si="59"/>
        <v>3.11744641629743E-06</v>
      </c>
    </row>
    <row r="308" spans="1:11" ht="11.25">
      <c r="A308" s="445" t="s">
        <v>868</v>
      </c>
      <c r="B308" s="522" t="s">
        <v>710</v>
      </c>
      <c r="C308" s="522"/>
      <c r="D308" s="324" t="s">
        <v>666</v>
      </c>
      <c r="E308" s="399">
        <v>80</v>
      </c>
      <c r="F308" s="325" t="s">
        <v>556</v>
      </c>
      <c r="G308" s="320">
        <v>0.54</v>
      </c>
      <c r="H308" s="320">
        <v>1.84</v>
      </c>
      <c r="I308" s="320">
        <f>H308+G308</f>
        <v>2.38</v>
      </c>
      <c r="J308" s="320">
        <f t="shared" si="63"/>
        <v>190.39999999999998</v>
      </c>
      <c r="K308" s="265">
        <f t="shared" si="59"/>
        <v>9.274403088484853E-05</v>
      </c>
    </row>
    <row r="309" spans="1:11" ht="11.25">
      <c r="A309" s="445"/>
      <c r="B309" s="348"/>
      <c r="C309" s="444"/>
      <c r="D309" s="332" t="s">
        <v>667</v>
      </c>
      <c r="E309" s="403"/>
      <c r="F309" s="336"/>
      <c r="G309" s="335"/>
      <c r="H309" s="335"/>
      <c r="I309" s="335"/>
      <c r="J309" s="335"/>
      <c r="K309" s="265">
        <f t="shared" si="59"/>
        <v>0</v>
      </c>
    </row>
    <row r="310" spans="1:13" ht="11.25">
      <c r="A310" s="445" t="s">
        <v>869</v>
      </c>
      <c r="B310" s="348" t="s">
        <v>561</v>
      </c>
      <c r="C310" s="349" t="s">
        <v>711</v>
      </c>
      <c r="D310" s="324" t="s">
        <v>668</v>
      </c>
      <c r="E310" s="365">
        <v>44</v>
      </c>
      <c r="F310" s="325" t="s">
        <v>556</v>
      </c>
      <c r="G310" s="110">
        <f>M310*0.15</f>
        <v>1.7205000000000001</v>
      </c>
      <c r="H310" s="110">
        <f>M310*0.85</f>
        <v>9.749500000000001</v>
      </c>
      <c r="I310" s="34">
        <f>G310+H310</f>
        <v>11.47</v>
      </c>
      <c r="J310" s="34">
        <f aca="true" t="shared" si="64" ref="J310:J315">I310*E310</f>
        <v>504.68</v>
      </c>
      <c r="K310" s="265">
        <f t="shared" si="59"/>
        <v>0.00024583013396515423</v>
      </c>
      <c r="M310" s="177">
        <v>11.47</v>
      </c>
    </row>
    <row r="311" spans="1:13" ht="11.25">
      <c r="A311" s="445" t="s">
        <v>870</v>
      </c>
      <c r="B311" s="348" t="s">
        <v>561</v>
      </c>
      <c r="C311" s="349" t="s">
        <v>713</v>
      </c>
      <c r="D311" s="326" t="s">
        <v>671</v>
      </c>
      <c r="E311" s="365">
        <v>5</v>
      </c>
      <c r="F311" s="325" t="s">
        <v>556</v>
      </c>
      <c r="G311" s="110">
        <f>M311*0.15</f>
        <v>11.3295</v>
      </c>
      <c r="H311" s="110">
        <f>M311*0.85</f>
        <v>64.2005</v>
      </c>
      <c r="I311" s="34">
        <f>G311+H311</f>
        <v>75.53</v>
      </c>
      <c r="J311" s="34">
        <f t="shared" si="64"/>
        <v>377.65</v>
      </c>
      <c r="K311" s="265">
        <f t="shared" si="59"/>
        <v>0.00018395369361167568</v>
      </c>
      <c r="M311" s="177">
        <v>75.53</v>
      </c>
    </row>
    <row r="312" spans="1:13" ht="11.25">
      <c r="A312" s="445" t="s">
        <v>871</v>
      </c>
      <c r="B312" s="348" t="s">
        <v>561</v>
      </c>
      <c r="C312" s="349" t="s">
        <v>714</v>
      </c>
      <c r="D312" s="326" t="s">
        <v>672</v>
      </c>
      <c r="E312" s="365">
        <v>1</v>
      </c>
      <c r="F312" s="325" t="s">
        <v>556</v>
      </c>
      <c r="G312" s="110">
        <f>M312*0.15</f>
        <v>15.171</v>
      </c>
      <c r="H312" s="110">
        <f>M312*0.85</f>
        <v>85.969</v>
      </c>
      <c r="I312" s="34">
        <f>G312+H312</f>
        <v>101.13999999999999</v>
      </c>
      <c r="J312" s="34">
        <f t="shared" si="64"/>
        <v>101.13999999999999</v>
      </c>
      <c r="K312" s="265">
        <f t="shared" si="59"/>
        <v>4.926539539755032E-05</v>
      </c>
      <c r="M312" s="177">
        <v>101.14</v>
      </c>
    </row>
    <row r="313" spans="1:13" ht="11.25">
      <c r="A313" s="445" t="s">
        <v>872</v>
      </c>
      <c r="B313" s="348" t="s">
        <v>561</v>
      </c>
      <c r="C313" s="349" t="s">
        <v>714</v>
      </c>
      <c r="D313" s="326" t="s">
        <v>673</v>
      </c>
      <c r="E313" s="365">
        <v>1</v>
      </c>
      <c r="F313" s="325" t="s">
        <v>556</v>
      </c>
      <c r="G313" s="110">
        <f>M313*0.15</f>
        <v>15.171</v>
      </c>
      <c r="H313" s="110">
        <f>M313*0.85</f>
        <v>85.969</v>
      </c>
      <c r="I313" s="34">
        <f>G313+H313</f>
        <v>101.13999999999999</v>
      </c>
      <c r="J313" s="34">
        <f t="shared" si="64"/>
        <v>101.13999999999999</v>
      </c>
      <c r="K313" s="265">
        <f t="shared" si="59"/>
        <v>4.926539539755032E-05</v>
      </c>
      <c r="M313" s="177">
        <v>101.14</v>
      </c>
    </row>
    <row r="314" spans="1:13" ht="11.25">
      <c r="A314" s="445" t="s">
        <v>873</v>
      </c>
      <c r="B314" s="348" t="s">
        <v>561</v>
      </c>
      <c r="C314" s="349" t="s">
        <v>843</v>
      </c>
      <c r="D314" s="326" t="s">
        <v>841</v>
      </c>
      <c r="E314" s="365">
        <v>1</v>
      </c>
      <c r="F314" s="325" t="s">
        <v>556</v>
      </c>
      <c r="G314" s="110">
        <f>M314*0.15</f>
        <v>43.329</v>
      </c>
      <c r="H314" s="110">
        <f>M314*0.85</f>
        <v>245.531</v>
      </c>
      <c r="I314" s="34">
        <f>G314+H314</f>
        <v>288.86</v>
      </c>
      <c r="J314" s="34">
        <f t="shared" si="64"/>
        <v>288.86</v>
      </c>
      <c r="K314" s="265">
        <f t="shared" si="59"/>
        <v>0.00014070399559557432</v>
      </c>
      <c r="M314" s="177">
        <v>288.86</v>
      </c>
    </row>
    <row r="315" spans="1:11" ht="11.25">
      <c r="A315" s="445" t="s">
        <v>874</v>
      </c>
      <c r="B315" s="348" t="s">
        <v>560</v>
      </c>
      <c r="C315" s="350">
        <v>71455</v>
      </c>
      <c r="D315" s="326" t="s">
        <v>677</v>
      </c>
      <c r="E315" s="399">
        <v>2</v>
      </c>
      <c r="F315" s="325" t="s">
        <v>556</v>
      </c>
      <c r="G315" s="320">
        <v>28.19</v>
      </c>
      <c r="H315" s="320">
        <v>104.08</v>
      </c>
      <c r="I315" s="320">
        <f>H315+G315</f>
        <v>132.27</v>
      </c>
      <c r="J315" s="320">
        <f t="shared" si="64"/>
        <v>264.54</v>
      </c>
      <c r="K315" s="265">
        <f t="shared" si="59"/>
        <v>0.00012885769921364409</v>
      </c>
    </row>
    <row r="316" spans="1:11" ht="11.25">
      <c r="A316" s="445"/>
      <c r="B316" s="348"/>
      <c r="C316" s="444"/>
      <c r="D316" s="332" t="s">
        <v>678</v>
      </c>
      <c r="E316" s="398"/>
      <c r="F316" s="333"/>
      <c r="G316" s="334"/>
      <c r="H316" s="334"/>
      <c r="I316" s="320"/>
      <c r="J316" s="320"/>
      <c r="K316" s="265">
        <f t="shared" si="59"/>
        <v>0</v>
      </c>
    </row>
    <row r="317" spans="1:13" ht="22.5">
      <c r="A317" s="445" t="s">
        <v>875</v>
      </c>
      <c r="B317" s="348" t="s">
        <v>561</v>
      </c>
      <c r="C317" s="343">
        <v>91926</v>
      </c>
      <c r="D317" s="308" t="s">
        <v>679</v>
      </c>
      <c r="E317" s="365">
        <v>1500</v>
      </c>
      <c r="F317" s="309" t="s">
        <v>194</v>
      </c>
      <c r="G317" s="110">
        <f aca="true" t="shared" si="65" ref="G317:G330">M317*0.15</f>
        <v>0.41100000000000003</v>
      </c>
      <c r="H317" s="110">
        <f aca="true" t="shared" si="66" ref="H317:H330">M317*0.85</f>
        <v>2.329</v>
      </c>
      <c r="I317" s="34">
        <f aca="true" t="shared" si="67" ref="I317:I330">G317+H317</f>
        <v>2.74</v>
      </c>
      <c r="J317" s="34">
        <f aca="true" t="shared" si="68" ref="J317:J330">I317*E317</f>
        <v>4110</v>
      </c>
      <c r="K317" s="265">
        <f t="shared" si="59"/>
        <v>0.0020019851204660056</v>
      </c>
      <c r="M317" s="177">
        <v>2.74</v>
      </c>
    </row>
    <row r="318" spans="1:13" ht="22.5">
      <c r="A318" s="445" t="s">
        <v>876</v>
      </c>
      <c r="B318" s="348" t="s">
        <v>561</v>
      </c>
      <c r="C318" s="343">
        <v>91926</v>
      </c>
      <c r="D318" s="308" t="s">
        <v>680</v>
      </c>
      <c r="E318" s="365">
        <v>1500</v>
      </c>
      <c r="F318" s="309" t="s">
        <v>194</v>
      </c>
      <c r="G318" s="110">
        <f t="shared" si="65"/>
        <v>0.41100000000000003</v>
      </c>
      <c r="H318" s="110">
        <f t="shared" si="66"/>
        <v>2.329</v>
      </c>
      <c r="I318" s="34">
        <f t="shared" si="67"/>
        <v>2.74</v>
      </c>
      <c r="J318" s="34">
        <f t="shared" si="68"/>
        <v>4110</v>
      </c>
      <c r="K318" s="265">
        <f t="shared" si="59"/>
        <v>0.0020019851204660056</v>
      </c>
      <c r="M318" s="177">
        <v>2.74</v>
      </c>
    </row>
    <row r="319" spans="1:13" ht="22.5">
      <c r="A319" s="445" t="s">
        <v>877</v>
      </c>
      <c r="B319" s="348" t="s">
        <v>561</v>
      </c>
      <c r="C319" s="343">
        <v>91926</v>
      </c>
      <c r="D319" s="308" t="s">
        <v>681</v>
      </c>
      <c r="E319" s="365">
        <v>1500</v>
      </c>
      <c r="F319" s="325" t="s">
        <v>194</v>
      </c>
      <c r="G319" s="110">
        <f t="shared" si="65"/>
        <v>0.41100000000000003</v>
      </c>
      <c r="H319" s="110">
        <f t="shared" si="66"/>
        <v>2.329</v>
      </c>
      <c r="I319" s="34">
        <f t="shared" si="67"/>
        <v>2.74</v>
      </c>
      <c r="J319" s="34">
        <f t="shared" si="68"/>
        <v>4110</v>
      </c>
      <c r="K319" s="265">
        <f t="shared" si="59"/>
        <v>0.0020019851204660056</v>
      </c>
      <c r="M319" s="177">
        <v>2.74</v>
      </c>
    </row>
    <row r="320" spans="1:13" ht="22.5">
      <c r="A320" s="445" t="s">
        <v>878</v>
      </c>
      <c r="B320" s="342" t="s">
        <v>561</v>
      </c>
      <c r="C320" s="343">
        <v>91926</v>
      </c>
      <c r="D320" s="308" t="s">
        <v>682</v>
      </c>
      <c r="E320" s="365">
        <v>600</v>
      </c>
      <c r="F320" s="309" t="s">
        <v>194</v>
      </c>
      <c r="G320" s="110">
        <f t="shared" si="65"/>
        <v>0.41100000000000003</v>
      </c>
      <c r="H320" s="110">
        <f t="shared" si="66"/>
        <v>2.329</v>
      </c>
      <c r="I320" s="34">
        <f t="shared" si="67"/>
        <v>2.74</v>
      </c>
      <c r="J320" s="34">
        <f t="shared" si="68"/>
        <v>1644.0000000000002</v>
      </c>
      <c r="K320" s="265">
        <f t="shared" si="59"/>
        <v>0.0008007940481864024</v>
      </c>
      <c r="M320" s="177">
        <v>2.74</v>
      </c>
    </row>
    <row r="321" spans="1:13" ht="22.5">
      <c r="A321" s="445" t="s">
        <v>879</v>
      </c>
      <c r="B321" s="342" t="s">
        <v>561</v>
      </c>
      <c r="C321" s="348">
        <v>91931</v>
      </c>
      <c r="D321" s="322" t="s">
        <v>686</v>
      </c>
      <c r="E321" s="403">
        <v>150</v>
      </c>
      <c r="F321" s="323" t="s">
        <v>194</v>
      </c>
      <c r="G321" s="110">
        <f t="shared" si="65"/>
        <v>0.9555</v>
      </c>
      <c r="H321" s="110">
        <f t="shared" si="66"/>
        <v>5.4145</v>
      </c>
      <c r="I321" s="34">
        <f t="shared" si="67"/>
        <v>6.37</v>
      </c>
      <c r="J321" s="34">
        <f t="shared" si="68"/>
        <v>955.5</v>
      </c>
      <c r="K321" s="265">
        <f t="shared" si="59"/>
        <v>0.0004654250079331554</v>
      </c>
      <c r="M321" s="177">
        <v>6.37</v>
      </c>
    </row>
    <row r="322" spans="1:13" ht="22.5">
      <c r="A322" s="445" t="s">
        <v>880</v>
      </c>
      <c r="B322" s="342" t="s">
        <v>561</v>
      </c>
      <c r="C322" s="348">
        <v>91931</v>
      </c>
      <c r="D322" s="322" t="s">
        <v>687</v>
      </c>
      <c r="E322" s="403">
        <v>150</v>
      </c>
      <c r="F322" s="323" t="s">
        <v>194</v>
      </c>
      <c r="G322" s="110">
        <f t="shared" si="65"/>
        <v>0.9555</v>
      </c>
      <c r="H322" s="110">
        <f t="shared" si="66"/>
        <v>5.4145</v>
      </c>
      <c r="I322" s="34">
        <f t="shared" si="67"/>
        <v>6.37</v>
      </c>
      <c r="J322" s="34">
        <f t="shared" si="68"/>
        <v>955.5</v>
      </c>
      <c r="K322" s="265">
        <f t="shared" si="59"/>
        <v>0.0004654250079331554</v>
      </c>
      <c r="M322" s="177">
        <v>6.37</v>
      </c>
    </row>
    <row r="323" spans="1:13" ht="22.5">
      <c r="A323" s="445" t="s">
        <v>881</v>
      </c>
      <c r="B323" s="342" t="s">
        <v>561</v>
      </c>
      <c r="C323" s="348">
        <v>91931</v>
      </c>
      <c r="D323" s="322" t="s">
        <v>688</v>
      </c>
      <c r="E323" s="403">
        <v>250</v>
      </c>
      <c r="F323" s="323" t="s">
        <v>194</v>
      </c>
      <c r="G323" s="110">
        <f t="shared" si="65"/>
        <v>0.9555</v>
      </c>
      <c r="H323" s="110">
        <f t="shared" si="66"/>
        <v>5.4145</v>
      </c>
      <c r="I323" s="34">
        <f t="shared" si="67"/>
        <v>6.37</v>
      </c>
      <c r="J323" s="34">
        <f t="shared" si="68"/>
        <v>1592.5</v>
      </c>
      <c r="K323" s="265">
        <f t="shared" si="59"/>
        <v>0.0007757083465552589</v>
      </c>
      <c r="M323" s="177">
        <v>6.37</v>
      </c>
    </row>
    <row r="324" spans="1:13" ht="22.5">
      <c r="A324" s="445" t="s">
        <v>882</v>
      </c>
      <c r="B324" s="342" t="s">
        <v>561</v>
      </c>
      <c r="C324" s="348">
        <v>92982</v>
      </c>
      <c r="D324" s="322" t="s">
        <v>691</v>
      </c>
      <c r="E324" s="403">
        <v>15</v>
      </c>
      <c r="F324" s="323" t="s">
        <v>194</v>
      </c>
      <c r="G324" s="110">
        <f t="shared" si="65"/>
        <v>1.461</v>
      </c>
      <c r="H324" s="110">
        <f t="shared" si="66"/>
        <v>8.279</v>
      </c>
      <c r="I324" s="34">
        <f t="shared" si="67"/>
        <v>9.74</v>
      </c>
      <c r="J324" s="34">
        <f t="shared" si="68"/>
        <v>146.1</v>
      </c>
      <c r="K324" s="265">
        <f t="shared" si="59"/>
        <v>7.116545647203976E-05</v>
      </c>
      <c r="M324" s="177">
        <v>9.74</v>
      </c>
    </row>
    <row r="325" spans="1:13" ht="22.5">
      <c r="A325" s="445" t="s">
        <v>883</v>
      </c>
      <c r="B325" s="342" t="s">
        <v>561</v>
      </c>
      <c r="C325" s="348">
        <v>92982</v>
      </c>
      <c r="D325" s="322" t="s">
        <v>689</v>
      </c>
      <c r="E325" s="403">
        <v>15</v>
      </c>
      <c r="F325" s="323" t="s">
        <v>194</v>
      </c>
      <c r="G325" s="110">
        <f t="shared" si="65"/>
        <v>1.461</v>
      </c>
      <c r="H325" s="110">
        <f t="shared" si="66"/>
        <v>8.279</v>
      </c>
      <c r="I325" s="34">
        <f t="shared" si="67"/>
        <v>9.74</v>
      </c>
      <c r="J325" s="34">
        <f t="shared" si="68"/>
        <v>146.1</v>
      </c>
      <c r="K325" s="265">
        <f t="shared" si="59"/>
        <v>7.116545647203976E-05</v>
      </c>
      <c r="M325" s="177">
        <v>9.74</v>
      </c>
    </row>
    <row r="326" spans="1:13" ht="22.5">
      <c r="A326" s="445" t="s">
        <v>884</v>
      </c>
      <c r="B326" s="342" t="s">
        <v>561</v>
      </c>
      <c r="C326" s="348">
        <v>92982</v>
      </c>
      <c r="D326" s="322" t="s">
        <v>690</v>
      </c>
      <c r="E326" s="403">
        <v>45</v>
      </c>
      <c r="F326" s="323" t="s">
        <v>194</v>
      </c>
      <c r="G326" s="110">
        <f t="shared" si="65"/>
        <v>1.461</v>
      </c>
      <c r="H326" s="110">
        <f t="shared" si="66"/>
        <v>8.279</v>
      </c>
      <c r="I326" s="34">
        <f t="shared" si="67"/>
        <v>9.74</v>
      </c>
      <c r="J326" s="34">
        <f t="shared" si="68"/>
        <v>438.3</v>
      </c>
      <c r="K326" s="265">
        <f t="shared" si="59"/>
        <v>0.0002134963694161193</v>
      </c>
      <c r="M326" s="177">
        <v>9.74</v>
      </c>
    </row>
    <row r="327" spans="1:11" ht="11.25">
      <c r="A327" s="337"/>
      <c r="B327" s="344"/>
      <c r="C327" s="345"/>
      <c r="D327" s="332" t="s">
        <v>697</v>
      </c>
      <c r="E327" s="398"/>
      <c r="F327" s="333"/>
      <c r="G327" s="110">
        <f t="shared" si="65"/>
        <v>0</v>
      </c>
      <c r="H327" s="110">
        <f t="shared" si="66"/>
        <v>0</v>
      </c>
      <c r="I327" s="34">
        <f t="shared" si="67"/>
        <v>0</v>
      </c>
      <c r="J327" s="34">
        <f t="shared" si="68"/>
        <v>0</v>
      </c>
      <c r="K327" s="265">
        <f t="shared" si="59"/>
        <v>0</v>
      </c>
    </row>
    <row r="328" spans="1:13" ht="11.25">
      <c r="A328" s="337" t="s">
        <v>885</v>
      </c>
      <c r="B328" s="342" t="s">
        <v>561</v>
      </c>
      <c r="C328" s="350">
        <v>91953</v>
      </c>
      <c r="D328" s="327" t="s">
        <v>698</v>
      </c>
      <c r="E328" s="365">
        <v>8</v>
      </c>
      <c r="F328" s="325" t="s">
        <v>556</v>
      </c>
      <c r="G328" s="110">
        <f t="shared" si="65"/>
        <v>3.0435</v>
      </c>
      <c r="H328" s="110">
        <f t="shared" si="66"/>
        <v>17.246499999999997</v>
      </c>
      <c r="I328" s="34">
        <f t="shared" si="67"/>
        <v>20.29</v>
      </c>
      <c r="J328" s="34">
        <f t="shared" si="68"/>
        <v>162.32</v>
      </c>
      <c r="K328" s="265">
        <f t="shared" si="59"/>
        <v>7.906623473334357E-05</v>
      </c>
      <c r="M328" s="177">
        <v>20.29</v>
      </c>
    </row>
    <row r="329" spans="1:13" ht="11.25">
      <c r="A329" s="337" t="s">
        <v>886</v>
      </c>
      <c r="B329" s="342" t="s">
        <v>561</v>
      </c>
      <c r="C329" s="350">
        <v>91959</v>
      </c>
      <c r="D329" s="327" t="s">
        <v>699</v>
      </c>
      <c r="E329" s="365">
        <v>12</v>
      </c>
      <c r="F329" s="325" t="s">
        <v>556</v>
      </c>
      <c r="G329" s="110">
        <f t="shared" si="65"/>
        <v>4.857</v>
      </c>
      <c r="H329" s="110">
        <f t="shared" si="66"/>
        <v>27.523</v>
      </c>
      <c r="I329" s="34">
        <f t="shared" si="67"/>
        <v>32.38</v>
      </c>
      <c r="J329" s="34">
        <f t="shared" si="68"/>
        <v>388.56000000000006</v>
      </c>
      <c r="K329" s="265">
        <f t="shared" si="59"/>
        <v>0.00018926796554945773</v>
      </c>
      <c r="M329" s="177">
        <v>32.38</v>
      </c>
    </row>
    <row r="330" spans="1:13" ht="22.5">
      <c r="A330" s="337" t="s">
        <v>887</v>
      </c>
      <c r="B330" s="342" t="s">
        <v>561</v>
      </c>
      <c r="C330" s="350">
        <v>91955</v>
      </c>
      <c r="D330" s="328" t="s">
        <v>701</v>
      </c>
      <c r="E330" s="365">
        <v>2</v>
      </c>
      <c r="F330" s="325" t="s">
        <v>556</v>
      </c>
      <c r="G330" s="110">
        <f t="shared" si="65"/>
        <v>3.8339999999999996</v>
      </c>
      <c r="H330" s="110">
        <f t="shared" si="66"/>
        <v>21.726</v>
      </c>
      <c r="I330" s="34">
        <f t="shared" si="67"/>
        <v>25.56</v>
      </c>
      <c r="J330" s="34">
        <f t="shared" si="68"/>
        <v>51.12</v>
      </c>
      <c r="K330" s="265">
        <f t="shared" si="59"/>
        <v>2.490060325017572E-05</v>
      </c>
      <c r="M330" s="177">
        <v>25.56</v>
      </c>
    </row>
    <row r="331" spans="1:11" ht="11.25">
      <c r="A331" s="337"/>
      <c r="B331" s="344"/>
      <c r="C331" s="344"/>
      <c r="D331" s="332" t="s">
        <v>702</v>
      </c>
      <c r="E331" s="398"/>
      <c r="F331" s="333"/>
      <c r="G331" s="334"/>
      <c r="H331" s="334"/>
      <c r="I331" s="320"/>
      <c r="J331" s="320"/>
      <c r="K331" s="265">
        <f t="shared" si="59"/>
        <v>0</v>
      </c>
    </row>
    <row r="332" spans="1:11" ht="56.25">
      <c r="A332" s="337" t="s">
        <v>888</v>
      </c>
      <c r="B332" s="521" t="s">
        <v>710</v>
      </c>
      <c r="C332" s="522"/>
      <c r="D332" s="328" t="s">
        <v>705</v>
      </c>
      <c r="E332" s="404">
        <v>1</v>
      </c>
      <c r="F332" s="325" t="s">
        <v>556</v>
      </c>
      <c r="G332" s="355">
        <f>I332*0.3</f>
        <v>12.564</v>
      </c>
      <c r="H332" s="355">
        <f>0.7*I332</f>
        <v>29.316</v>
      </c>
      <c r="I332" s="320">
        <v>41.88</v>
      </c>
      <c r="J332" s="329">
        <f>I332*E332</f>
        <v>41.88</v>
      </c>
      <c r="K332" s="265">
        <f t="shared" si="59"/>
        <v>2.039978998664631E-05</v>
      </c>
    </row>
    <row r="333" spans="1:11" ht="45">
      <c r="A333" s="337" t="s">
        <v>890</v>
      </c>
      <c r="B333" s="521" t="s">
        <v>710</v>
      </c>
      <c r="C333" s="522"/>
      <c r="D333" s="328" t="s">
        <v>706</v>
      </c>
      <c r="E333" s="405">
        <v>29</v>
      </c>
      <c r="F333" s="323" t="s">
        <v>556</v>
      </c>
      <c r="G333" s="320">
        <f>0.1765*H333</f>
        <v>5.277349999999999</v>
      </c>
      <c r="H333" s="361">
        <v>29.9</v>
      </c>
      <c r="I333" s="320">
        <f>H333+G333</f>
        <v>35.17735</v>
      </c>
      <c r="J333" s="329">
        <f>I333*E333</f>
        <v>1020.1431499999999</v>
      </c>
      <c r="K333" s="265">
        <f t="shared" si="59"/>
        <v>0.0004969127511059173</v>
      </c>
    </row>
    <row r="334" spans="1:11" ht="78.75">
      <c r="A334" s="337" t="s">
        <v>891</v>
      </c>
      <c r="B334" s="521" t="s">
        <v>710</v>
      </c>
      <c r="C334" s="522"/>
      <c r="D334" s="328" t="s">
        <v>707</v>
      </c>
      <c r="E334" s="404">
        <v>4</v>
      </c>
      <c r="F334" s="323" t="s">
        <v>556</v>
      </c>
      <c r="G334" s="320">
        <f>0.1765*H334</f>
        <v>50.9379</v>
      </c>
      <c r="H334" s="357">
        <v>288.6</v>
      </c>
      <c r="I334" s="320">
        <f>H334+G334</f>
        <v>339.53790000000004</v>
      </c>
      <c r="J334" s="329">
        <f>I334*E334</f>
        <v>1358.1516000000001</v>
      </c>
      <c r="K334" s="265">
        <f t="shared" si="59"/>
        <v>0.000661557005970097</v>
      </c>
    </row>
    <row r="335" spans="1:11" ht="11.25">
      <c r="A335" s="337" t="s">
        <v>892</v>
      </c>
      <c r="B335" s="521" t="s">
        <v>710</v>
      </c>
      <c r="C335" s="522"/>
      <c r="D335" s="331" t="s">
        <v>708</v>
      </c>
      <c r="E335" s="399">
        <v>12</v>
      </c>
      <c r="F335" s="323" t="s">
        <v>556</v>
      </c>
      <c r="G335" s="320">
        <f>0.1765*H335</f>
        <v>7.042349999999999</v>
      </c>
      <c r="H335" s="311">
        <v>39.9</v>
      </c>
      <c r="I335" s="320">
        <f>H335+G335</f>
        <v>46.94235</v>
      </c>
      <c r="J335" s="320">
        <f>I335*E335</f>
        <v>563.3081999999999</v>
      </c>
      <c r="K335" s="265">
        <f t="shared" si="59"/>
        <v>0.0002743879889626493</v>
      </c>
    </row>
    <row r="336" spans="1:12" s="189" customFormat="1" ht="11.25">
      <c r="A336" s="449"/>
      <c r="B336" s="449"/>
      <c r="C336" s="450"/>
      <c r="D336" s="338" t="s">
        <v>605</v>
      </c>
      <c r="E336" s="365"/>
      <c r="F336" s="340"/>
      <c r="G336" s="341"/>
      <c r="H336" s="341"/>
      <c r="I336" s="110"/>
      <c r="J336" s="368">
        <f>SUM(J337:J390)</f>
        <v>36949.08819999999</v>
      </c>
      <c r="K336" s="43">
        <f aca="true" t="shared" si="69" ref="K336:K342">J336/$J$633</f>
        <v>0.017997937905398068</v>
      </c>
      <c r="L336" s="195"/>
    </row>
    <row r="337" spans="1:11" ht="11.25">
      <c r="A337" s="337"/>
      <c r="B337" s="186"/>
      <c r="C337" s="307"/>
      <c r="D337" s="332" t="s">
        <v>709</v>
      </c>
      <c r="E337" s="398"/>
      <c r="F337" s="352"/>
      <c r="G337" s="353"/>
      <c r="H337" s="353"/>
      <c r="I337" s="353"/>
      <c r="J337" s="353"/>
      <c r="K337" s="265">
        <f t="shared" si="69"/>
        <v>0</v>
      </c>
    </row>
    <row r="338" spans="1:13" ht="22.5">
      <c r="A338" s="337" t="s">
        <v>893</v>
      </c>
      <c r="B338" s="342" t="s">
        <v>561</v>
      </c>
      <c r="C338" s="343">
        <v>91996</v>
      </c>
      <c r="D338" s="308" t="s">
        <v>643</v>
      </c>
      <c r="E338" s="365">
        <v>3</v>
      </c>
      <c r="F338" s="309" t="s">
        <v>556</v>
      </c>
      <c r="G338" s="110">
        <f>M338*0.15</f>
        <v>3.24</v>
      </c>
      <c r="H338" s="110">
        <f>M338*0.85</f>
        <v>18.36</v>
      </c>
      <c r="I338" s="34">
        <f>G338+H338</f>
        <v>21.6</v>
      </c>
      <c r="J338" s="34">
        <f>I338*E338</f>
        <v>64.80000000000001</v>
      </c>
      <c r="K338" s="265">
        <f t="shared" si="69"/>
        <v>3.156414496501148E-05</v>
      </c>
      <c r="M338" s="177">
        <v>21.6</v>
      </c>
    </row>
    <row r="339" spans="1:13" ht="22.5">
      <c r="A339" s="337" t="s">
        <v>894</v>
      </c>
      <c r="B339" s="342" t="s">
        <v>561</v>
      </c>
      <c r="C339" s="343">
        <v>92000</v>
      </c>
      <c r="D339" s="308" t="s">
        <v>645</v>
      </c>
      <c r="E339" s="365">
        <v>34</v>
      </c>
      <c r="F339" s="309" t="s">
        <v>556</v>
      </c>
      <c r="G339" s="110">
        <f>M339*0.15</f>
        <v>2.8859999999999997</v>
      </c>
      <c r="H339" s="110">
        <f>M339*0.85</f>
        <v>16.354</v>
      </c>
      <c r="I339" s="34">
        <f>G339+H339</f>
        <v>19.24</v>
      </c>
      <c r="J339" s="34">
        <f>I339*E339</f>
        <v>654.16</v>
      </c>
      <c r="K339" s="265">
        <f t="shared" si="69"/>
        <v>0.00031864199182580105</v>
      </c>
      <c r="M339" s="177">
        <v>19.24</v>
      </c>
    </row>
    <row r="340" spans="1:13" ht="22.5">
      <c r="A340" s="337" t="s">
        <v>895</v>
      </c>
      <c r="B340" s="342" t="s">
        <v>561</v>
      </c>
      <c r="C340" s="343">
        <v>92008</v>
      </c>
      <c r="D340" s="308" t="s">
        <v>646</v>
      </c>
      <c r="E340" s="365">
        <v>2</v>
      </c>
      <c r="F340" s="309" t="s">
        <v>556</v>
      </c>
      <c r="G340" s="110">
        <f>M340*0.15</f>
        <v>4.5375</v>
      </c>
      <c r="H340" s="110">
        <f>M340*0.85</f>
        <v>25.7125</v>
      </c>
      <c r="I340" s="34">
        <f>G340+H340</f>
        <v>30.25</v>
      </c>
      <c r="J340" s="34">
        <f>I340*E340</f>
        <v>60.5</v>
      </c>
      <c r="K340" s="265">
        <f t="shared" si="69"/>
        <v>2.946961065406164E-05</v>
      </c>
      <c r="M340" s="177">
        <v>30.25</v>
      </c>
    </row>
    <row r="341" spans="1:13" ht="22.5">
      <c r="A341" s="337" t="s">
        <v>896</v>
      </c>
      <c r="B341" s="342" t="s">
        <v>561</v>
      </c>
      <c r="C341" s="343">
        <v>91996</v>
      </c>
      <c r="D341" s="308" t="s">
        <v>647</v>
      </c>
      <c r="E341" s="365">
        <v>2</v>
      </c>
      <c r="F341" s="309" t="s">
        <v>556</v>
      </c>
      <c r="G341" s="110">
        <f>M341*0.15</f>
        <v>3.24</v>
      </c>
      <c r="H341" s="110">
        <f>M341*0.85</f>
        <v>18.36</v>
      </c>
      <c r="I341" s="34">
        <f>G341+H341</f>
        <v>21.6</v>
      </c>
      <c r="J341" s="34">
        <f>I341*E341</f>
        <v>43.2</v>
      </c>
      <c r="K341" s="265">
        <f t="shared" si="69"/>
        <v>2.1042763310007652E-05</v>
      </c>
      <c r="M341" s="177">
        <v>21.6</v>
      </c>
    </row>
    <row r="342" spans="1:13" ht="11.25">
      <c r="A342" s="337" t="s">
        <v>897</v>
      </c>
      <c r="B342" s="342" t="s">
        <v>561</v>
      </c>
      <c r="C342" s="343">
        <v>91992</v>
      </c>
      <c r="D342" s="308" t="s">
        <v>648</v>
      </c>
      <c r="E342" s="404">
        <v>13</v>
      </c>
      <c r="F342" s="309" t="s">
        <v>556</v>
      </c>
      <c r="G342" s="110">
        <f>M342*0.15</f>
        <v>4.149</v>
      </c>
      <c r="H342" s="110">
        <f>M342*0.85</f>
        <v>23.511</v>
      </c>
      <c r="I342" s="34">
        <f>G342+H342</f>
        <v>27.66</v>
      </c>
      <c r="J342" s="34">
        <f>I342*E342</f>
        <v>359.58</v>
      </c>
      <c r="K342" s="265">
        <f t="shared" si="69"/>
        <v>0.0001751517784956609</v>
      </c>
      <c r="M342" s="177">
        <v>27.66</v>
      </c>
    </row>
    <row r="343" spans="1:12" s="184" customFormat="1" ht="11.25">
      <c r="A343" s="337"/>
      <c r="B343" s="344"/>
      <c r="C343" s="345"/>
      <c r="D343" s="332" t="s">
        <v>649</v>
      </c>
      <c r="E343" s="398"/>
      <c r="F343" s="333"/>
      <c r="G343" s="334"/>
      <c r="H343" s="334"/>
      <c r="I343" s="320"/>
      <c r="J343" s="320"/>
      <c r="K343" s="265"/>
      <c r="L343" s="183"/>
    </row>
    <row r="344" spans="1:13" ht="45">
      <c r="A344" s="337" t="s">
        <v>898</v>
      </c>
      <c r="B344" s="288" t="s">
        <v>561</v>
      </c>
      <c r="C344" s="289" t="s">
        <v>835</v>
      </c>
      <c r="D344" s="336" t="s">
        <v>889</v>
      </c>
      <c r="E344" s="365">
        <v>1</v>
      </c>
      <c r="F344" s="325" t="s">
        <v>556</v>
      </c>
      <c r="G344" s="110">
        <f aca="true" t="shared" si="70" ref="G344:G355">M344*0.15</f>
        <v>7.126499999999999</v>
      </c>
      <c r="H344" s="110">
        <f aca="true" t="shared" si="71" ref="H344:H355">M344*0.85</f>
        <v>40.3835</v>
      </c>
      <c r="I344" s="34">
        <f aca="true" t="shared" si="72" ref="I344:I355">G344+H344</f>
        <v>47.51</v>
      </c>
      <c r="J344" s="34">
        <f aca="true" t="shared" si="73" ref="J344:J355">I344*E344</f>
        <v>47.51</v>
      </c>
      <c r="K344" s="265">
        <f aca="true" t="shared" si="74" ref="K344:K355">J344/$J$633</f>
        <v>2.3142168630982953E-05</v>
      </c>
      <c r="M344" s="177">
        <v>47.51</v>
      </c>
    </row>
    <row r="345" spans="1:13" ht="33.75">
      <c r="A345" s="337" t="s">
        <v>899</v>
      </c>
      <c r="B345" s="288" t="s">
        <v>561</v>
      </c>
      <c r="C345" s="289" t="s">
        <v>836</v>
      </c>
      <c r="D345" s="336" t="s">
        <v>781</v>
      </c>
      <c r="E345" s="365">
        <v>2</v>
      </c>
      <c r="F345" s="325" t="s">
        <v>556</v>
      </c>
      <c r="G345" s="110">
        <f t="shared" si="70"/>
        <v>25.340999999999998</v>
      </c>
      <c r="H345" s="110">
        <f t="shared" si="71"/>
        <v>143.599</v>
      </c>
      <c r="I345" s="34">
        <f t="shared" si="72"/>
        <v>168.94</v>
      </c>
      <c r="J345" s="34">
        <f t="shared" si="73"/>
        <v>337.88</v>
      </c>
      <c r="K345" s="265">
        <f t="shared" si="74"/>
        <v>0.00016458168674040243</v>
      </c>
      <c r="M345" s="177">
        <v>168.94</v>
      </c>
    </row>
    <row r="346" spans="1:13" ht="33.75">
      <c r="A346" s="337" t="s">
        <v>900</v>
      </c>
      <c r="B346" s="288" t="s">
        <v>561</v>
      </c>
      <c r="C346" s="289" t="s">
        <v>842</v>
      </c>
      <c r="D346" s="336" t="s">
        <v>838</v>
      </c>
      <c r="E346" s="365">
        <v>1</v>
      </c>
      <c r="F346" s="325" t="s">
        <v>556</v>
      </c>
      <c r="G346" s="110">
        <f t="shared" si="70"/>
        <v>40.6305</v>
      </c>
      <c r="H346" s="110">
        <f t="shared" si="71"/>
        <v>230.2395</v>
      </c>
      <c r="I346" s="34">
        <f t="shared" si="72"/>
        <v>270.87</v>
      </c>
      <c r="J346" s="34">
        <f t="shared" si="73"/>
        <v>270.87</v>
      </c>
      <c r="K346" s="265">
        <f t="shared" si="74"/>
        <v>0.00013194104855976326</v>
      </c>
      <c r="M346" s="177">
        <v>270.87</v>
      </c>
    </row>
    <row r="347" spans="1:13" ht="33.75">
      <c r="A347" s="337" t="s">
        <v>901</v>
      </c>
      <c r="B347" s="288" t="s">
        <v>561</v>
      </c>
      <c r="C347" s="289" t="s">
        <v>837</v>
      </c>
      <c r="D347" s="336" t="s">
        <v>839</v>
      </c>
      <c r="E347" s="365">
        <v>1</v>
      </c>
      <c r="F347" s="325" t="s">
        <v>556</v>
      </c>
      <c r="G347" s="110">
        <f t="shared" si="70"/>
        <v>62.879999999999995</v>
      </c>
      <c r="H347" s="110">
        <f t="shared" si="71"/>
        <v>356.32</v>
      </c>
      <c r="I347" s="34">
        <f t="shared" si="72"/>
        <v>419.2</v>
      </c>
      <c r="J347" s="34">
        <f t="shared" si="73"/>
        <v>419.2</v>
      </c>
      <c r="K347" s="265">
        <f t="shared" si="74"/>
        <v>0.00020419274026748166</v>
      </c>
      <c r="M347" s="177">
        <v>419.2</v>
      </c>
    </row>
    <row r="348" spans="1:13" ht="11.25">
      <c r="A348" s="337" t="s">
        <v>902</v>
      </c>
      <c r="B348" s="288" t="s">
        <v>561</v>
      </c>
      <c r="C348" s="362" t="s">
        <v>632</v>
      </c>
      <c r="D348" s="324" t="s">
        <v>630</v>
      </c>
      <c r="E348" s="404">
        <v>70</v>
      </c>
      <c r="F348" s="354" t="s">
        <v>556</v>
      </c>
      <c r="G348" s="110">
        <f t="shared" si="70"/>
        <v>2.2784999999999997</v>
      </c>
      <c r="H348" s="110">
        <f t="shared" si="71"/>
        <v>12.911499999999998</v>
      </c>
      <c r="I348" s="34">
        <f t="shared" si="72"/>
        <v>15.189999999999998</v>
      </c>
      <c r="J348" s="34">
        <f t="shared" si="73"/>
        <v>1063.2999999999997</v>
      </c>
      <c r="K348" s="265">
        <f t="shared" si="74"/>
        <v>0.000517934496007665</v>
      </c>
      <c r="M348" s="177">
        <v>15.19</v>
      </c>
    </row>
    <row r="349" spans="1:13" ht="11.25">
      <c r="A349" s="337" t="s">
        <v>1217</v>
      </c>
      <c r="B349" s="288" t="s">
        <v>561</v>
      </c>
      <c r="C349" s="362" t="s">
        <v>633</v>
      </c>
      <c r="D349" s="324" t="s">
        <v>631</v>
      </c>
      <c r="E349" s="404">
        <v>50</v>
      </c>
      <c r="F349" s="354" t="s">
        <v>556</v>
      </c>
      <c r="G349" s="110">
        <f t="shared" si="70"/>
        <v>1.6424999999999998</v>
      </c>
      <c r="H349" s="110">
        <f t="shared" si="71"/>
        <v>9.3075</v>
      </c>
      <c r="I349" s="34">
        <f t="shared" si="72"/>
        <v>10.95</v>
      </c>
      <c r="J349" s="34">
        <f t="shared" si="73"/>
        <v>547.5</v>
      </c>
      <c r="K349" s="265">
        <f t="shared" si="74"/>
        <v>0.0002666877988941942</v>
      </c>
      <c r="M349" s="177">
        <v>10.95</v>
      </c>
    </row>
    <row r="350" spans="1:13" ht="22.5">
      <c r="A350" s="337" t="s">
        <v>1218</v>
      </c>
      <c r="B350" s="288" t="s">
        <v>561</v>
      </c>
      <c r="C350" s="343">
        <v>91936</v>
      </c>
      <c r="D350" s="324" t="s">
        <v>651</v>
      </c>
      <c r="E350" s="365">
        <v>211</v>
      </c>
      <c r="F350" s="325" t="s">
        <v>556</v>
      </c>
      <c r="G350" s="110">
        <f t="shared" si="70"/>
        <v>1.2495</v>
      </c>
      <c r="H350" s="110">
        <f t="shared" si="71"/>
        <v>7.0805</v>
      </c>
      <c r="I350" s="34">
        <f t="shared" si="72"/>
        <v>8.33</v>
      </c>
      <c r="J350" s="34">
        <f t="shared" si="73"/>
        <v>1757.63</v>
      </c>
      <c r="K350" s="265">
        <f t="shared" si="74"/>
        <v>0.0008561433351057581</v>
      </c>
      <c r="M350" s="177">
        <v>8.33</v>
      </c>
    </row>
    <row r="351" spans="1:13" ht="22.5">
      <c r="A351" s="337" t="s">
        <v>903</v>
      </c>
      <c r="B351" s="342" t="s">
        <v>561</v>
      </c>
      <c r="C351" s="284">
        <v>91940</v>
      </c>
      <c r="D351" s="328" t="s">
        <v>652</v>
      </c>
      <c r="E351" s="399">
        <v>6</v>
      </c>
      <c r="F351" s="323" t="s">
        <v>556</v>
      </c>
      <c r="G351" s="110">
        <f t="shared" si="70"/>
        <v>1.44</v>
      </c>
      <c r="H351" s="110">
        <f t="shared" si="71"/>
        <v>8.16</v>
      </c>
      <c r="I351" s="34">
        <f t="shared" si="72"/>
        <v>9.6</v>
      </c>
      <c r="J351" s="34">
        <f t="shared" si="73"/>
        <v>57.599999999999994</v>
      </c>
      <c r="K351" s="265">
        <f t="shared" si="74"/>
        <v>2.8057017746676866E-05</v>
      </c>
      <c r="M351" s="177">
        <v>9.6</v>
      </c>
    </row>
    <row r="352" spans="1:11" ht="11.25">
      <c r="A352" s="337"/>
      <c r="B352" s="344"/>
      <c r="C352" s="345"/>
      <c r="D352" s="332" t="s">
        <v>656</v>
      </c>
      <c r="E352" s="398"/>
      <c r="F352" s="333"/>
      <c r="G352" s="110">
        <f t="shared" si="70"/>
        <v>0</v>
      </c>
      <c r="H352" s="110">
        <f t="shared" si="71"/>
        <v>0</v>
      </c>
      <c r="I352" s="34">
        <f t="shared" si="72"/>
        <v>0</v>
      </c>
      <c r="J352" s="34">
        <f t="shared" si="73"/>
        <v>0</v>
      </c>
      <c r="K352" s="265">
        <f t="shared" si="74"/>
        <v>0</v>
      </c>
    </row>
    <row r="353" spans="1:13" ht="22.5">
      <c r="A353" s="337" t="s">
        <v>904</v>
      </c>
      <c r="B353" s="363" t="s">
        <v>561</v>
      </c>
      <c r="C353" s="350">
        <v>91834</v>
      </c>
      <c r="D353" s="324" t="s">
        <v>657</v>
      </c>
      <c r="E353" s="404">
        <v>500</v>
      </c>
      <c r="F353" s="325" t="s">
        <v>194</v>
      </c>
      <c r="G353" s="110">
        <f t="shared" si="70"/>
        <v>0.49799999999999994</v>
      </c>
      <c r="H353" s="110">
        <f t="shared" si="71"/>
        <v>2.8219999999999996</v>
      </c>
      <c r="I353" s="34">
        <f t="shared" si="72"/>
        <v>3.3199999999999994</v>
      </c>
      <c r="J353" s="34">
        <f t="shared" si="73"/>
        <v>1659.9999999999998</v>
      </c>
      <c r="K353" s="265">
        <f t="shared" si="74"/>
        <v>0.0008085876642271458</v>
      </c>
      <c r="M353" s="177">
        <v>3.32</v>
      </c>
    </row>
    <row r="354" spans="1:13" ht="22.5">
      <c r="A354" s="337" t="s">
        <v>905</v>
      </c>
      <c r="B354" s="363" t="s">
        <v>561</v>
      </c>
      <c r="C354" s="350">
        <v>91871</v>
      </c>
      <c r="D354" s="324" t="s">
        <v>658</v>
      </c>
      <c r="E354" s="404">
        <v>400</v>
      </c>
      <c r="F354" s="325" t="s">
        <v>194</v>
      </c>
      <c r="G354" s="110">
        <f t="shared" si="70"/>
        <v>1.1024999999999998</v>
      </c>
      <c r="H354" s="110">
        <f t="shared" si="71"/>
        <v>6.2475</v>
      </c>
      <c r="I354" s="34">
        <f t="shared" si="72"/>
        <v>7.35</v>
      </c>
      <c r="J354" s="34">
        <f t="shared" si="73"/>
        <v>2940</v>
      </c>
      <c r="K354" s="265">
        <f t="shared" si="74"/>
        <v>0.001432076947486632</v>
      </c>
      <c r="M354" s="177">
        <v>7.35</v>
      </c>
    </row>
    <row r="355" spans="1:13" ht="11.25">
      <c r="A355" s="337" t="s">
        <v>906</v>
      </c>
      <c r="B355" s="346" t="s">
        <v>561</v>
      </c>
      <c r="C355" s="347">
        <v>93008</v>
      </c>
      <c r="D355" s="322" t="s">
        <v>659</v>
      </c>
      <c r="E355" s="401">
        <v>120</v>
      </c>
      <c r="F355" s="323" t="s">
        <v>194</v>
      </c>
      <c r="G355" s="110">
        <f t="shared" si="70"/>
        <v>1.236</v>
      </c>
      <c r="H355" s="110">
        <f t="shared" si="71"/>
        <v>7.004</v>
      </c>
      <c r="I355" s="34">
        <f t="shared" si="72"/>
        <v>8.24</v>
      </c>
      <c r="J355" s="34">
        <f t="shared" si="73"/>
        <v>988.8000000000001</v>
      </c>
      <c r="K355" s="265">
        <f t="shared" si="74"/>
        <v>0.00048164547131795293</v>
      </c>
      <c r="M355" s="177">
        <v>8.24</v>
      </c>
    </row>
    <row r="356" spans="1:11" ht="11.25">
      <c r="A356" s="337" t="s">
        <v>907</v>
      </c>
      <c r="B356" s="342" t="s">
        <v>560</v>
      </c>
      <c r="C356" s="348">
        <v>71207</v>
      </c>
      <c r="D356" s="322" t="s">
        <v>783</v>
      </c>
      <c r="E356" s="401">
        <v>60</v>
      </c>
      <c r="F356" s="323" t="s">
        <v>194</v>
      </c>
      <c r="G356" s="320">
        <v>22.55</v>
      </c>
      <c r="H356" s="357">
        <v>16.99</v>
      </c>
      <c r="I356" s="320">
        <f>G356+H356</f>
        <v>39.54</v>
      </c>
      <c r="J356" s="320">
        <f aca="true" t="shared" si="75" ref="J356:J363">I356*E356</f>
        <v>2372.4</v>
      </c>
      <c r="K356" s="265">
        <f aca="true" t="shared" si="76" ref="K356:K387">J356/$J$633</f>
        <v>0.0011555984184412535</v>
      </c>
    </row>
    <row r="357" spans="1:11" ht="11.25">
      <c r="A357" s="337" t="s">
        <v>908</v>
      </c>
      <c r="B357" s="521" t="s">
        <v>710</v>
      </c>
      <c r="C357" s="522"/>
      <c r="D357" s="322" t="s">
        <v>661</v>
      </c>
      <c r="E357" s="401">
        <v>5</v>
      </c>
      <c r="F357" s="323" t="s">
        <v>662</v>
      </c>
      <c r="G357" s="320">
        <v>23.85</v>
      </c>
      <c r="H357" s="320">
        <v>79.45</v>
      </c>
      <c r="I357" s="320">
        <f>G357+H357</f>
        <v>103.30000000000001</v>
      </c>
      <c r="J357" s="320">
        <f t="shared" si="75"/>
        <v>516.5</v>
      </c>
      <c r="K357" s="265">
        <f t="shared" si="76"/>
        <v>0.0002515876678152535</v>
      </c>
    </row>
    <row r="358" spans="1:11" ht="11.25">
      <c r="A358" s="337" t="s">
        <v>909</v>
      </c>
      <c r="B358" s="521" t="s">
        <v>710</v>
      </c>
      <c r="C358" s="522"/>
      <c r="D358" s="324" t="s">
        <v>663</v>
      </c>
      <c r="E358" s="404">
        <v>2</v>
      </c>
      <c r="F358" s="354" t="s">
        <v>556</v>
      </c>
      <c r="G358" s="355">
        <v>4.7</v>
      </c>
      <c r="H358" s="355">
        <v>14.7</v>
      </c>
      <c r="I358" s="320">
        <v>20.91</v>
      </c>
      <c r="J358" s="320">
        <f t="shared" si="75"/>
        <v>41.82</v>
      </c>
      <c r="K358" s="265">
        <f t="shared" si="76"/>
        <v>2.0370563926493518E-05</v>
      </c>
    </row>
    <row r="359" spans="1:11" ht="11.25">
      <c r="A359" s="337" t="s">
        <v>910</v>
      </c>
      <c r="B359" s="521" t="s">
        <v>710</v>
      </c>
      <c r="C359" s="522"/>
      <c r="D359" s="324" t="s">
        <v>665</v>
      </c>
      <c r="E359" s="404">
        <v>2</v>
      </c>
      <c r="F359" s="354" t="s">
        <v>556</v>
      </c>
      <c r="G359" s="357">
        <v>4.7</v>
      </c>
      <c r="H359" s="357">
        <v>15.62</v>
      </c>
      <c r="I359" s="320">
        <f>G359+H359</f>
        <v>20.32</v>
      </c>
      <c r="J359" s="320">
        <f t="shared" si="75"/>
        <v>40.64</v>
      </c>
      <c r="K359" s="265">
        <f t="shared" si="76"/>
        <v>1.979578474348868E-05</v>
      </c>
    </row>
    <row r="360" spans="1:11" ht="22.5">
      <c r="A360" s="337" t="s">
        <v>911</v>
      </c>
      <c r="B360" s="521" t="s">
        <v>710</v>
      </c>
      <c r="C360" s="522"/>
      <c r="D360" s="358" t="s">
        <v>601</v>
      </c>
      <c r="E360" s="403">
        <v>10</v>
      </c>
      <c r="F360" s="323" t="s">
        <v>662</v>
      </c>
      <c r="G360" s="320">
        <v>7.94</v>
      </c>
      <c r="H360" s="320">
        <v>46.46</v>
      </c>
      <c r="I360" s="320">
        <f>G360+H360</f>
        <v>54.4</v>
      </c>
      <c r="J360" s="320">
        <f t="shared" si="75"/>
        <v>544</v>
      </c>
      <c r="K360" s="265">
        <f t="shared" si="76"/>
        <v>0.00026498294538528154</v>
      </c>
    </row>
    <row r="361" spans="1:11" ht="11.25">
      <c r="A361" s="337" t="s">
        <v>912</v>
      </c>
      <c r="B361" s="521" t="s">
        <v>710</v>
      </c>
      <c r="C361" s="522"/>
      <c r="D361" s="358" t="s">
        <v>604</v>
      </c>
      <c r="E361" s="403">
        <v>7</v>
      </c>
      <c r="F361" s="360" t="s">
        <v>556</v>
      </c>
      <c r="G361" s="320">
        <v>0.85</v>
      </c>
      <c r="H361" s="320">
        <v>4.47</v>
      </c>
      <c r="I361" s="320">
        <v>4.47</v>
      </c>
      <c r="J361" s="320">
        <f t="shared" si="75"/>
        <v>31.29</v>
      </c>
      <c r="K361" s="265">
        <f t="shared" si="76"/>
        <v>1.5241390369679153E-05</v>
      </c>
    </row>
    <row r="362" spans="1:11" ht="11.25">
      <c r="A362" s="337" t="s">
        <v>913</v>
      </c>
      <c r="B362" s="521" t="s">
        <v>710</v>
      </c>
      <c r="C362" s="522"/>
      <c r="D362" s="358" t="s">
        <v>603</v>
      </c>
      <c r="E362" s="403">
        <v>2</v>
      </c>
      <c r="F362" s="360" t="s">
        <v>556</v>
      </c>
      <c r="G362" s="320">
        <v>0.85</v>
      </c>
      <c r="H362" s="320">
        <v>2.35</v>
      </c>
      <c r="I362" s="320">
        <f>G362+H362</f>
        <v>3.2</v>
      </c>
      <c r="J362" s="320">
        <f t="shared" si="75"/>
        <v>6.4</v>
      </c>
      <c r="K362" s="265">
        <f t="shared" si="76"/>
        <v>3.11744641629743E-06</v>
      </c>
    </row>
    <row r="363" spans="1:11" ht="11.25">
      <c r="A363" s="337" t="s">
        <v>914</v>
      </c>
      <c r="B363" s="521" t="s">
        <v>710</v>
      </c>
      <c r="C363" s="522"/>
      <c r="D363" s="324" t="s">
        <v>666</v>
      </c>
      <c r="E363" s="399">
        <v>80</v>
      </c>
      <c r="F363" s="325" t="s">
        <v>556</v>
      </c>
      <c r="G363" s="320">
        <v>0.54</v>
      </c>
      <c r="H363" s="320">
        <v>1.84</v>
      </c>
      <c r="I363" s="320">
        <f>H363+G363</f>
        <v>2.38</v>
      </c>
      <c r="J363" s="320">
        <f t="shared" si="75"/>
        <v>190.39999999999998</v>
      </c>
      <c r="K363" s="265">
        <f t="shared" si="76"/>
        <v>9.274403088484853E-05</v>
      </c>
    </row>
    <row r="364" spans="1:11" ht="11.25">
      <c r="A364" s="337"/>
      <c r="B364" s="344"/>
      <c r="C364" s="345"/>
      <c r="D364" s="332" t="s">
        <v>667</v>
      </c>
      <c r="E364" s="403"/>
      <c r="F364" s="336"/>
      <c r="G364" s="335"/>
      <c r="H364" s="335"/>
      <c r="I364" s="335"/>
      <c r="J364" s="335"/>
      <c r="K364" s="265">
        <f t="shared" si="76"/>
        <v>0</v>
      </c>
    </row>
    <row r="365" spans="1:13" ht="11.25">
      <c r="A365" s="337" t="s">
        <v>915</v>
      </c>
      <c r="B365" s="342" t="s">
        <v>561</v>
      </c>
      <c r="C365" s="349" t="s">
        <v>711</v>
      </c>
      <c r="D365" s="324" t="s">
        <v>668</v>
      </c>
      <c r="E365" s="365">
        <v>45</v>
      </c>
      <c r="F365" s="325" t="s">
        <v>556</v>
      </c>
      <c r="G365" s="110">
        <f>M365*0.15</f>
        <v>1.7205000000000001</v>
      </c>
      <c r="H365" s="110">
        <f>M365*0.85</f>
        <v>9.749500000000001</v>
      </c>
      <c r="I365" s="34">
        <f>G365+H365</f>
        <v>11.47</v>
      </c>
      <c r="J365" s="34">
        <f aca="true" t="shared" si="77" ref="J365:J370">I365*E365</f>
        <v>516.15</v>
      </c>
      <c r="K365" s="265">
        <f t="shared" si="76"/>
        <v>0.00025141718246436223</v>
      </c>
      <c r="M365" s="177">
        <v>11.47</v>
      </c>
    </row>
    <row r="366" spans="1:13" ht="11.25">
      <c r="A366" s="337" t="s">
        <v>916</v>
      </c>
      <c r="B366" s="342" t="s">
        <v>561</v>
      </c>
      <c r="C366" s="349" t="s">
        <v>712</v>
      </c>
      <c r="D366" s="324" t="s">
        <v>670</v>
      </c>
      <c r="E366" s="365">
        <v>2</v>
      </c>
      <c r="F366" s="325" t="s">
        <v>556</v>
      </c>
      <c r="G366" s="110">
        <f>M366*0.15</f>
        <v>2.67</v>
      </c>
      <c r="H366" s="110">
        <f>M366*0.85</f>
        <v>15.13</v>
      </c>
      <c r="I366" s="34">
        <f>G366+H366</f>
        <v>17.8</v>
      </c>
      <c r="J366" s="34">
        <f t="shared" si="77"/>
        <v>35.6</v>
      </c>
      <c r="K366" s="265">
        <f t="shared" si="76"/>
        <v>1.7340795690654454E-05</v>
      </c>
      <c r="M366" s="177">
        <v>17.8</v>
      </c>
    </row>
    <row r="367" spans="1:13" ht="11.25">
      <c r="A367" s="337" t="s">
        <v>917</v>
      </c>
      <c r="B367" s="342" t="s">
        <v>561</v>
      </c>
      <c r="C367" s="349" t="s">
        <v>713</v>
      </c>
      <c r="D367" s="324" t="s">
        <v>671</v>
      </c>
      <c r="E367" s="365">
        <v>5</v>
      </c>
      <c r="F367" s="325" t="s">
        <v>556</v>
      </c>
      <c r="G367" s="110">
        <f>M367*0.15</f>
        <v>11.3295</v>
      </c>
      <c r="H367" s="110">
        <f>M367*0.85</f>
        <v>64.2005</v>
      </c>
      <c r="I367" s="34">
        <f>G367+H367</f>
        <v>75.53</v>
      </c>
      <c r="J367" s="34">
        <f t="shared" si="77"/>
        <v>377.65</v>
      </c>
      <c r="K367" s="265">
        <f t="shared" si="76"/>
        <v>0.00018395369361167568</v>
      </c>
      <c r="M367" s="177">
        <v>75.53</v>
      </c>
    </row>
    <row r="368" spans="1:13" ht="11.25">
      <c r="A368" s="337" t="s">
        <v>918</v>
      </c>
      <c r="B368" s="342" t="s">
        <v>561</v>
      </c>
      <c r="C368" s="349" t="s">
        <v>714</v>
      </c>
      <c r="D368" s="324" t="s">
        <v>672</v>
      </c>
      <c r="E368" s="365">
        <v>1</v>
      </c>
      <c r="F368" s="325" t="s">
        <v>556</v>
      </c>
      <c r="G368" s="110">
        <f>M368*0.15</f>
        <v>15.171</v>
      </c>
      <c r="H368" s="110">
        <f>M368*0.85</f>
        <v>85.969</v>
      </c>
      <c r="I368" s="34">
        <f>G368+H368</f>
        <v>101.13999999999999</v>
      </c>
      <c r="J368" s="34">
        <f t="shared" si="77"/>
        <v>101.13999999999999</v>
      </c>
      <c r="K368" s="265">
        <f t="shared" si="76"/>
        <v>4.926539539755032E-05</v>
      </c>
      <c r="M368" s="177">
        <v>101.14</v>
      </c>
    </row>
    <row r="369" spans="1:13" ht="11.25">
      <c r="A369" s="337" t="s">
        <v>919</v>
      </c>
      <c r="B369" s="342" t="s">
        <v>561</v>
      </c>
      <c r="C369" s="349" t="s">
        <v>714</v>
      </c>
      <c r="D369" s="324" t="s">
        <v>673</v>
      </c>
      <c r="E369" s="365">
        <v>1</v>
      </c>
      <c r="F369" s="325" t="s">
        <v>556</v>
      </c>
      <c r="G369" s="110">
        <f>M369*0.15</f>
        <v>15.171</v>
      </c>
      <c r="H369" s="110">
        <f>M369*0.85</f>
        <v>85.969</v>
      </c>
      <c r="I369" s="34">
        <f>G369+H369</f>
        <v>101.13999999999999</v>
      </c>
      <c r="J369" s="34">
        <f t="shared" si="77"/>
        <v>101.13999999999999</v>
      </c>
      <c r="K369" s="265">
        <f t="shared" si="76"/>
        <v>4.926539539755032E-05</v>
      </c>
      <c r="M369" s="177">
        <v>101.14</v>
      </c>
    </row>
    <row r="370" spans="1:11" ht="11.25">
      <c r="A370" s="337" t="s">
        <v>920</v>
      </c>
      <c r="B370" s="342" t="s">
        <v>560</v>
      </c>
      <c r="C370" s="350">
        <v>71455</v>
      </c>
      <c r="D370" s="324" t="s">
        <v>677</v>
      </c>
      <c r="E370" s="399">
        <v>2</v>
      </c>
      <c r="F370" s="325" t="s">
        <v>556</v>
      </c>
      <c r="G370" s="320">
        <v>28.19</v>
      </c>
      <c r="H370" s="320">
        <v>104.08</v>
      </c>
      <c r="I370" s="320">
        <f>H370+G370</f>
        <v>132.27</v>
      </c>
      <c r="J370" s="320">
        <f t="shared" si="77"/>
        <v>264.54</v>
      </c>
      <c r="K370" s="265">
        <f t="shared" si="76"/>
        <v>0.00012885769921364409</v>
      </c>
    </row>
    <row r="371" spans="1:11" ht="11.25">
      <c r="A371" s="337"/>
      <c r="B371" s="344"/>
      <c r="C371" s="345"/>
      <c r="D371" s="332" t="s">
        <v>678</v>
      </c>
      <c r="E371" s="398"/>
      <c r="F371" s="333"/>
      <c r="G371" s="334"/>
      <c r="H371" s="334"/>
      <c r="I371" s="320"/>
      <c r="J371" s="320"/>
      <c r="K371" s="265">
        <f t="shared" si="76"/>
        <v>0</v>
      </c>
    </row>
    <row r="372" spans="1:13" ht="22.5">
      <c r="A372" s="337" t="s">
        <v>921</v>
      </c>
      <c r="B372" s="342" t="s">
        <v>561</v>
      </c>
      <c r="C372" s="343">
        <v>91926</v>
      </c>
      <c r="D372" s="324" t="s">
        <v>679</v>
      </c>
      <c r="E372" s="365">
        <v>1500</v>
      </c>
      <c r="F372" s="325" t="s">
        <v>194</v>
      </c>
      <c r="G372" s="110">
        <f aca="true" t="shared" si="78" ref="G372:G387">M372*0.15</f>
        <v>0.41100000000000003</v>
      </c>
      <c r="H372" s="110">
        <f aca="true" t="shared" si="79" ref="H372:H387">M372*0.85</f>
        <v>2.329</v>
      </c>
      <c r="I372" s="34">
        <f aca="true" t="shared" si="80" ref="I372:I387">G372+H372</f>
        <v>2.74</v>
      </c>
      <c r="J372" s="34">
        <f aca="true" t="shared" si="81" ref="J372:J387">I372*E372</f>
        <v>4110</v>
      </c>
      <c r="K372" s="265">
        <f t="shared" si="76"/>
        <v>0.0020019851204660056</v>
      </c>
      <c r="M372" s="177">
        <v>2.74</v>
      </c>
    </row>
    <row r="373" spans="1:13" ht="22.5">
      <c r="A373" s="337" t="s">
        <v>922</v>
      </c>
      <c r="B373" s="342" t="s">
        <v>561</v>
      </c>
      <c r="C373" s="343">
        <v>91926</v>
      </c>
      <c r="D373" s="324" t="s">
        <v>680</v>
      </c>
      <c r="E373" s="365">
        <v>1500</v>
      </c>
      <c r="F373" s="325" t="s">
        <v>194</v>
      </c>
      <c r="G373" s="110">
        <f t="shared" si="78"/>
        <v>0.41100000000000003</v>
      </c>
      <c r="H373" s="110">
        <f t="shared" si="79"/>
        <v>2.329</v>
      </c>
      <c r="I373" s="34">
        <f t="shared" si="80"/>
        <v>2.74</v>
      </c>
      <c r="J373" s="34">
        <f t="shared" si="81"/>
        <v>4110</v>
      </c>
      <c r="K373" s="265">
        <f t="shared" si="76"/>
        <v>0.0020019851204660056</v>
      </c>
      <c r="M373" s="177">
        <v>2.74</v>
      </c>
    </row>
    <row r="374" spans="1:13" ht="22.5">
      <c r="A374" s="337" t="s">
        <v>923</v>
      </c>
      <c r="B374" s="342" t="s">
        <v>561</v>
      </c>
      <c r="C374" s="343">
        <v>91926</v>
      </c>
      <c r="D374" s="324" t="s">
        <v>681</v>
      </c>
      <c r="E374" s="365">
        <v>1500</v>
      </c>
      <c r="F374" s="325" t="s">
        <v>194</v>
      </c>
      <c r="G374" s="110">
        <f t="shared" si="78"/>
        <v>0.41100000000000003</v>
      </c>
      <c r="H374" s="110">
        <f t="shared" si="79"/>
        <v>2.329</v>
      </c>
      <c r="I374" s="34">
        <f t="shared" si="80"/>
        <v>2.74</v>
      </c>
      <c r="J374" s="34">
        <f t="shared" si="81"/>
        <v>4110</v>
      </c>
      <c r="K374" s="265">
        <f t="shared" si="76"/>
        <v>0.0020019851204660056</v>
      </c>
      <c r="M374" s="177">
        <v>2.74</v>
      </c>
    </row>
    <row r="375" spans="1:13" ht="22.5">
      <c r="A375" s="337" t="s">
        <v>924</v>
      </c>
      <c r="B375" s="342" t="s">
        <v>561</v>
      </c>
      <c r="C375" s="343">
        <v>91926</v>
      </c>
      <c r="D375" s="324" t="s">
        <v>682</v>
      </c>
      <c r="E375" s="365">
        <v>600</v>
      </c>
      <c r="F375" s="325" t="s">
        <v>194</v>
      </c>
      <c r="G375" s="110">
        <f t="shared" si="78"/>
        <v>0.41100000000000003</v>
      </c>
      <c r="H375" s="110">
        <f t="shared" si="79"/>
        <v>2.329</v>
      </c>
      <c r="I375" s="34">
        <f t="shared" si="80"/>
        <v>2.74</v>
      </c>
      <c r="J375" s="34">
        <f t="shared" si="81"/>
        <v>1644.0000000000002</v>
      </c>
      <c r="K375" s="265">
        <f t="shared" si="76"/>
        <v>0.0008007940481864024</v>
      </c>
      <c r="M375" s="177">
        <v>2.74</v>
      </c>
    </row>
    <row r="376" spans="1:13" ht="22.5">
      <c r="A376" s="337" t="s">
        <v>925</v>
      </c>
      <c r="B376" s="342" t="s">
        <v>561</v>
      </c>
      <c r="C376" s="348">
        <v>91931</v>
      </c>
      <c r="D376" s="322" t="s">
        <v>686</v>
      </c>
      <c r="E376" s="403">
        <v>150</v>
      </c>
      <c r="F376" s="323" t="s">
        <v>194</v>
      </c>
      <c r="G376" s="110">
        <f t="shared" si="78"/>
        <v>0.9555</v>
      </c>
      <c r="H376" s="110">
        <f t="shared" si="79"/>
        <v>5.4145</v>
      </c>
      <c r="I376" s="34">
        <f t="shared" si="80"/>
        <v>6.37</v>
      </c>
      <c r="J376" s="34">
        <f t="shared" si="81"/>
        <v>955.5</v>
      </c>
      <c r="K376" s="265">
        <f t="shared" si="76"/>
        <v>0.0004654250079331554</v>
      </c>
      <c r="M376" s="177">
        <v>6.37</v>
      </c>
    </row>
    <row r="377" spans="1:13" ht="22.5">
      <c r="A377" s="337" t="s">
        <v>926</v>
      </c>
      <c r="B377" s="342" t="s">
        <v>561</v>
      </c>
      <c r="C377" s="348">
        <v>91931</v>
      </c>
      <c r="D377" s="322" t="s">
        <v>687</v>
      </c>
      <c r="E377" s="403">
        <v>150</v>
      </c>
      <c r="F377" s="323" t="s">
        <v>194</v>
      </c>
      <c r="G377" s="110">
        <f t="shared" si="78"/>
        <v>0.9555</v>
      </c>
      <c r="H377" s="110">
        <f t="shared" si="79"/>
        <v>5.4145</v>
      </c>
      <c r="I377" s="34">
        <f t="shared" si="80"/>
        <v>6.37</v>
      </c>
      <c r="J377" s="34">
        <f t="shared" si="81"/>
        <v>955.5</v>
      </c>
      <c r="K377" s="265">
        <f t="shared" si="76"/>
        <v>0.0004654250079331554</v>
      </c>
      <c r="M377" s="177">
        <v>6.37</v>
      </c>
    </row>
    <row r="378" spans="1:13" ht="22.5">
      <c r="A378" s="337" t="s">
        <v>927</v>
      </c>
      <c r="B378" s="342" t="s">
        <v>561</v>
      </c>
      <c r="C378" s="348">
        <v>91931</v>
      </c>
      <c r="D378" s="322" t="s">
        <v>688</v>
      </c>
      <c r="E378" s="403">
        <v>250</v>
      </c>
      <c r="F378" s="323" t="s">
        <v>194</v>
      </c>
      <c r="G378" s="110">
        <f t="shared" si="78"/>
        <v>0.9555</v>
      </c>
      <c r="H378" s="110">
        <f t="shared" si="79"/>
        <v>5.4145</v>
      </c>
      <c r="I378" s="34">
        <f t="shared" si="80"/>
        <v>6.37</v>
      </c>
      <c r="J378" s="34">
        <f t="shared" si="81"/>
        <v>1592.5</v>
      </c>
      <c r="K378" s="265">
        <f t="shared" si="76"/>
        <v>0.0007757083465552589</v>
      </c>
      <c r="M378" s="177">
        <v>6.37</v>
      </c>
    </row>
    <row r="379" spans="1:13" ht="22.5">
      <c r="A379" s="337" t="s">
        <v>928</v>
      </c>
      <c r="B379" s="342" t="s">
        <v>561</v>
      </c>
      <c r="C379" s="348">
        <v>92982</v>
      </c>
      <c r="D379" s="322" t="s">
        <v>689</v>
      </c>
      <c r="E379" s="403">
        <v>15</v>
      </c>
      <c r="F379" s="323" t="s">
        <v>194</v>
      </c>
      <c r="G379" s="110">
        <f t="shared" si="78"/>
        <v>1.461</v>
      </c>
      <c r="H379" s="110">
        <f t="shared" si="79"/>
        <v>8.279</v>
      </c>
      <c r="I379" s="34">
        <f t="shared" si="80"/>
        <v>9.74</v>
      </c>
      <c r="J379" s="34">
        <f t="shared" si="81"/>
        <v>146.1</v>
      </c>
      <c r="K379" s="265">
        <f t="shared" si="76"/>
        <v>7.116545647203976E-05</v>
      </c>
      <c r="M379" s="177">
        <v>9.74</v>
      </c>
    </row>
    <row r="380" spans="1:13" ht="22.5">
      <c r="A380" s="337" t="s">
        <v>929</v>
      </c>
      <c r="B380" s="342" t="s">
        <v>561</v>
      </c>
      <c r="C380" s="348">
        <v>92982</v>
      </c>
      <c r="D380" s="322" t="s">
        <v>690</v>
      </c>
      <c r="E380" s="403">
        <v>45</v>
      </c>
      <c r="F380" s="323" t="s">
        <v>194</v>
      </c>
      <c r="G380" s="110">
        <f t="shared" si="78"/>
        <v>1.461</v>
      </c>
      <c r="H380" s="110">
        <f t="shared" si="79"/>
        <v>8.279</v>
      </c>
      <c r="I380" s="34">
        <f t="shared" si="80"/>
        <v>9.74</v>
      </c>
      <c r="J380" s="34">
        <f t="shared" si="81"/>
        <v>438.3</v>
      </c>
      <c r="K380" s="265">
        <f t="shared" si="76"/>
        <v>0.0002134963694161193</v>
      </c>
      <c r="M380" s="177">
        <v>9.74</v>
      </c>
    </row>
    <row r="381" spans="1:13" ht="22.5">
      <c r="A381" s="337" t="s">
        <v>930</v>
      </c>
      <c r="B381" s="342" t="s">
        <v>561</v>
      </c>
      <c r="C381" s="348">
        <v>92982</v>
      </c>
      <c r="D381" s="322" t="s">
        <v>691</v>
      </c>
      <c r="E381" s="403">
        <v>30</v>
      </c>
      <c r="F381" s="323" t="s">
        <v>194</v>
      </c>
      <c r="G381" s="110">
        <f t="shared" si="78"/>
        <v>1.461</v>
      </c>
      <c r="H381" s="110">
        <f t="shared" si="79"/>
        <v>8.279</v>
      </c>
      <c r="I381" s="34">
        <f t="shared" si="80"/>
        <v>9.74</v>
      </c>
      <c r="J381" s="34">
        <f t="shared" si="81"/>
        <v>292.2</v>
      </c>
      <c r="K381" s="265">
        <f t="shared" si="76"/>
        <v>0.00014233091294407952</v>
      </c>
      <c r="M381" s="177">
        <v>9.74</v>
      </c>
    </row>
    <row r="382" spans="1:13" ht="22.5">
      <c r="A382" s="337" t="s">
        <v>931</v>
      </c>
      <c r="B382" s="342" t="s">
        <v>561</v>
      </c>
      <c r="C382" s="348">
        <v>92984</v>
      </c>
      <c r="D382" s="322" t="s">
        <v>784</v>
      </c>
      <c r="E382" s="403">
        <v>15</v>
      </c>
      <c r="F382" s="323" t="s">
        <v>194</v>
      </c>
      <c r="G382" s="110">
        <f t="shared" si="78"/>
        <v>2.439</v>
      </c>
      <c r="H382" s="110">
        <f t="shared" si="79"/>
        <v>13.821000000000002</v>
      </c>
      <c r="I382" s="34">
        <f t="shared" si="80"/>
        <v>16.26</v>
      </c>
      <c r="J382" s="34">
        <f t="shared" si="81"/>
        <v>243.90000000000003</v>
      </c>
      <c r="K382" s="265">
        <f t="shared" si="76"/>
        <v>0.00011880393452108489</v>
      </c>
      <c r="M382" s="177">
        <v>16.26</v>
      </c>
    </row>
    <row r="383" spans="1:13" ht="22.5">
      <c r="A383" s="337" t="s">
        <v>932</v>
      </c>
      <c r="B383" s="342" t="s">
        <v>561</v>
      </c>
      <c r="C383" s="348">
        <v>92984</v>
      </c>
      <c r="D383" s="322" t="s">
        <v>785</v>
      </c>
      <c r="E383" s="403">
        <v>45</v>
      </c>
      <c r="F383" s="323" t="s">
        <v>194</v>
      </c>
      <c r="G383" s="110">
        <f t="shared" si="78"/>
        <v>2.439</v>
      </c>
      <c r="H383" s="110">
        <f t="shared" si="79"/>
        <v>13.821000000000002</v>
      </c>
      <c r="I383" s="34">
        <f t="shared" si="80"/>
        <v>16.26</v>
      </c>
      <c r="J383" s="34">
        <f t="shared" si="81"/>
        <v>731.7</v>
      </c>
      <c r="K383" s="265">
        <f t="shared" si="76"/>
        <v>0.0003564118035632546</v>
      </c>
      <c r="M383" s="177">
        <v>16.26</v>
      </c>
    </row>
    <row r="384" spans="1:11" ht="11.25">
      <c r="A384" s="337"/>
      <c r="B384" s="344"/>
      <c r="C384" s="345"/>
      <c r="D384" s="332" t="s">
        <v>697</v>
      </c>
      <c r="E384" s="398"/>
      <c r="F384" s="333"/>
      <c r="G384" s="110">
        <f t="shared" si="78"/>
        <v>0</v>
      </c>
      <c r="H384" s="110">
        <f t="shared" si="79"/>
        <v>0</v>
      </c>
      <c r="I384" s="34">
        <f t="shared" si="80"/>
        <v>0</v>
      </c>
      <c r="J384" s="34">
        <f t="shared" si="81"/>
        <v>0</v>
      </c>
      <c r="K384" s="265">
        <f t="shared" si="76"/>
        <v>0</v>
      </c>
    </row>
    <row r="385" spans="1:13" ht="11.25">
      <c r="A385" s="337" t="s">
        <v>933</v>
      </c>
      <c r="B385" s="342" t="s">
        <v>561</v>
      </c>
      <c r="C385" s="350">
        <v>91953</v>
      </c>
      <c r="D385" s="327" t="s">
        <v>698</v>
      </c>
      <c r="E385" s="365">
        <v>8</v>
      </c>
      <c r="F385" s="325" t="s">
        <v>556</v>
      </c>
      <c r="G385" s="110">
        <f t="shared" si="78"/>
        <v>3.0435</v>
      </c>
      <c r="H385" s="110">
        <f t="shared" si="79"/>
        <v>17.246499999999997</v>
      </c>
      <c r="I385" s="34">
        <f t="shared" si="80"/>
        <v>20.29</v>
      </c>
      <c r="J385" s="34">
        <f t="shared" si="81"/>
        <v>162.32</v>
      </c>
      <c r="K385" s="265">
        <f t="shared" si="76"/>
        <v>7.906623473334357E-05</v>
      </c>
      <c r="M385" s="177">
        <v>20.29</v>
      </c>
    </row>
    <row r="386" spans="1:13" ht="11.25">
      <c r="A386" s="337" t="s">
        <v>934</v>
      </c>
      <c r="B386" s="342" t="s">
        <v>561</v>
      </c>
      <c r="C386" s="350">
        <v>91959</v>
      </c>
      <c r="D386" s="327" t="s">
        <v>699</v>
      </c>
      <c r="E386" s="365">
        <v>12</v>
      </c>
      <c r="F386" s="325" t="s">
        <v>556</v>
      </c>
      <c r="G386" s="110">
        <f t="shared" si="78"/>
        <v>4.857</v>
      </c>
      <c r="H386" s="110">
        <f t="shared" si="79"/>
        <v>27.523</v>
      </c>
      <c r="I386" s="34">
        <f t="shared" si="80"/>
        <v>32.38</v>
      </c>
      <c r="J386" s="34">
        <f t="shared" si="81"/>
        <v>388.56000000000006</v>
      </c>
      <c r="K386" s="265">
        <f t="shared" si="76"/>
        <v>0.00018926796554945773</v>
      </c>
      <c r="M386" s="177">
        <v>32.38</v>
      </c>
    </row>
    <row r="387" spans="1:13" ht="22.5">
      <c r="A387" s="337" t="s">
        <v>935</v>
      </c>
      <c r="B387" s="342" t="s">
        <v>561</v>
      </c>
      <c r="C387" s="350">
        <v>91955</v>
      </c>
      <c r="D387" s="328" t="s">
        <v>701</v>
      </c>
      <c r="E387" s="365">
        <v>2</v>
      </c>
      <c r="F387" s="325" t="s">
        <v>556</v>
      </c>
      <c r="G387" s="110">
        <f t="shared" si="78"/>
        <v>3.8339999999999996</v>
      </c>
      <c r="H387" s="110">
        <f t="shared" si="79"/>
        <v>21.726</v>
      </c>
      <c r="I387" s="34">
        <f t="shared" si="80"/>
        <v>25.56</v>
      </c>
      <c r="J387" s="34">
        <f t="shared" si="81"/>
        <v>51.12</v>
      </c>
      <c r="K387" s="265">
        <f t="shared" si="76"/>
        <v>2.490060325017572E-05</v>
      </c>
      <c r="M387" s="177">
        <v>25.56</v>
      </c>
    </row>
    <row r="388" spans="1:11" ht="11.25">
      <c r="A388" s="337"/>
      <c r="B388" s="344"/>
      <c r="C388" s="344"/>
      <c r="D388" s="332" t="s">
        <v>702</v>
      </c>
      <c r="E388" s="398"/>
      <c r="F388" s="333"/>
      <c r="G388" s="334"/>
      <c r="H388" s="334"/>
      <c r="I388" s="320"/>
      <c r="J388" s="320"/>
      <c r="K388" s="265">
        <f aca="true" t="shared" si="82" ref="K388:K402">J388/$J$633</f>
        <v>0</v>
      </c>
    </row>
    <row r="389" spans="1:11" ht="56.25">
      <c r="A389" s="337" t="s">
        <v>936</v>
      </c>
      <c r="B389" s="521" t="s">
        <v>710</v>
      </c>
      <c r="C389" s="522"/>
      <c r="D389" s="328" t="s">
        <v>705</v>
      </c>
      <c r="E389" s="404">
        <v>1</v>
      </c>
      <c r="F389" s="325" t="s">
        <v>556</v>
      </c>
      <c r="G389" s="355">
        <f>I389*0.3</f>
        <v>12.564</v>
      </c>
      <c r="H389" s="355">
        <f>0.7*I389</f>
        <v>29.316</v>
      </c>
      <c r="I389" s="320">
        <v>41.88</v>
      </c>
      <c r="J389" s="329">
        <f>I389*E389</f>
        <v>41.88</v>
      </c>
      <c r="K389" s="265">
        <f t="shared" si="82"/>
        <v>2.039978998664631E-05</v>
      </c>
    </row>
    <row r="390" spans="1:11" ht="11.25">
      <c r="A390" s="337" t="s">
        <v>966</v>
      </c>
      <c r="B390" s="521" t="s">
        <v>710</v>
      </c>
      <c r="C390" s="522"/>
      <c r="D390" s="322" t="s">
        <v>708</v>
      </c>
      <c r="E390" s="399">
        <v>12</v>
      </c>
      <c r="F390" s="323" t="s">
        <v>556</v>
      </c>
      <c r="G390" s="320">
        <f>0.1765*H390</f>
        <v>7.042349999999999</v>
      </c>
      <c r="H390" s="320">
        <v>39.9</v>
      </c>
      <c r="I390" s="320">
        <f>H390+G390</f>
        <v>46.94235</v>
      </c>
      <c r="J390" s="320">
        <f>I390*E390</f>
        <v>563.3081999999999</v>
      </c>
      <c r="K390" s="265">
        <f t="shared" si="82"/>
        <v>0.0002743879889626493</v>
      </c>
    </row>
    <row r="391" spans="1:12" s="189" customFormat="1" ht="11.25">
      <c r="A391" s="337"/>
      <c r="B391" s="449"/>
      <c r="C391" s="450"/>
      <c r="D391" s="338" t="s">
        <v>937</v>
      </c>
      <c r="E391" s="365"/>
      <c r="F391" s="340"/>
      <c r="G391" s="341"/>
      <c r="H391" s="341"/>
      <c r="I391" s="110"/>
      <c r="J391" s="368">
        <f>SUM(J392:J420)</f>
        <v>168911.15000000002</v>
      </c>
      <c r="K391" s="43">
        <f t="shared" si="82"/>
        <v>0.08227679050627777</v>
      </c>
      <c r="L391" s="195"/>
    </row>
    <row r="392" spans="1:11" ht="11.25">
      <c r="A392" s="337"/>
      <c r="B392" s="186"/>
      <c r="C392" s="307"/>
      <c r="D392" s="10" t="s">
        <v>49</v>
      </c>
      <c r="E392" s="374"/>
      <c r="F392" s="367" t="s">
        <v>147</v>
      </c>
      <c r="G392" s="9"/>
      <c r="H392" s="10"/>
      <c r="I392" s="368"/>
      <c r="J392" s="368"/>
      <c r="K392" s="265">
        <f t="shared" si="82"/>
        <v>0</v>
      </c>
    </row>
    <row r="393" spans="1:11" ht="11.25">
      <c r="A393" s="337" t="s">
        <v>967</v>
      </c>
      <c r="B393" s="375" t="s">
        <v>46</v>
      </c>
      <c r="C393" s="376"/>
      <c r="D393" s="322" t="s">
        <v>965</v>
      </c>
      <c r="E393" s="399">
        <v>2</v>
      </c>
      <c r="F393" s="323" t="s">
        <v>556</v>
      </c>
      <c r="G393" s="34">
        <f>I393*0.3</f>
        <v>119.64899999999999</v>
      </c>
      <c r="H393" s="34">
        <f>I393*0.7</f>
        <v>279.181</v>
      </c>
      <c r="I393" s="320">
        <v>398.83</v>
      </c>
      <c r="J393" s="320">
        <f>I393*E393</f>
        <v>797.66</v>
      </c>
      <c r="K393" s="265">
        <f t="shared" si="82"/>
        <v>0.00038854098569122</v>
      </c>
    </row>
    <row r="394" spans="1:11" ht="11.25">
      <c r="A394" s="337"/>
      <c r="B394" s="377"/>
      <c r="C394" s="378"/>
      <c r="D394" s="10" t="s">
        <v>938</v>
      </c>
      <c r="E394" s="369"/>
      <c r="F394" s="129" t="s">
        <v>147</v>
      </c>
      <c r="G394" s="129"/>
      <c r="H394" s="129"/>
      <c r="I394" s="129"/>
      <c r="J394" s="129"/>
      <c r="K394" s="265">
        <f t="shared" si="82"/>
        <v>0</v>
      </c>
    </row>
    <row r="395" spans="1:13" ht="11.25">
      <c r="A395" s="337" t="s">
        <v>968</v>
      </c>
      <c r="B395" s="375" t="s">
        <v>30</v>
      </c>
      <c r="C395" s="379" t="s">
        <v>997</v>
      </c>
      <c r="D395" s="324" t="s">
        <v>939</v>
      </c>
      <c r="E395" s="397">
        <v>1</v>
      </c>
      <c r="F395" s="370" t="s">
        <v>556</v>
      </c>
      <c r="G395" s="110">
        <f>M395*0.15</f>
        <v>153.5355</v>
      </c>
      <c r="H395" s="110">
        <f>M395*0.85</f>
        <v>870.0345</v>
      </c>
      <c r="I395" s="34">
        <f>G395+H395</f>
        <v>1023.5699999999999</v>
      </c>
      <c r="J395" s="34">
        <f>I395*E395</f>
        <v>1023.5699999999999</v>
      </c>
      <c r="K395" s="265">
        <f t="shared" si="82"/>
        <v>0.0004985819731764938</v>
      </c>
      <c r="M395" s="177">
        <v>1023.57</v>
      </c>
    </row>
    <row r="396" spans="1:13" ht="11.25">
      <c r="A396" s="337" t="s">
        <v>969</v>
      </c>
      <c r="B396" s="375" t="s">
        <v>30</v>
      </c>
      <c r="C396" s="379" t="s">
        <v>998</v>
      </c>
      <c r="D396" s="324" t="s">
        <v>940</v>
      </c>
      <c r="E396" s="397">
        <v>1</v>
      </c>
      <c r="F396" s="370" t="s">
        <v>556</v>
      </c>
      <c r="G396" s="110">
        <f>M396*0.15</f>
        <v>251.619</v>
      </c>
      <c r="H396" s="110">
        <f>M396*0.85</f>
        <v>1425.841</v>
      </c>
      <c r="I396" s="34">
        <f>G396+H396</f>
        <v>1677.4599999999998</v>
      </c>
      <c r="J396" s="34">
        <f>I396*E396</f>
        <v>1677.4599999999998</v>
      </c>
      <c r="K396" s="265">
        <f t="shared" si="82"/>
        <v>0.0008170924477316072</v>
      </c>
      <c r="M396" s="177">
        <v>1677.46</v>
      </c>
    </row>
    <row r="397" spans="1:13" ht="11.25">
      <c r="A397" s="337" t="s">
        <v>970</v>
      </c>
      <c r="B397" s="375" t="s">
        <v>30</v>
      </c>
      <c r="C397" s="280">
        <v>72319</v>
      </c>
      <c r="D397" s="316" t="s">
        <v>941</v>
      </c>
      <c r="E397" s="397">
        <v>1</v>
      </c>
      <c r="F397" s="370" t="s">
        <v>556</v>
      </c>
      <c r="G397" s="110">
        <f>M397*0.15</f>
        <v>587.079</v>
      </c>
      <c r="H397" s="110">
        <f>M397*0.85</f>
        <v>3326.781</v>
      </c>
      <c r="I397" s="34">
        <f>G397+H397</f>
        <v>3913.8599999999997</v>
      </c>
      <c r="J397" s="34">
        <f>I397*E397</f>
        <v>3913.8599999999997</v>
      </c>
      <c r="K397" s="265">
        <f t="shared" si="82"/>
        <v>0.0019064451298265402</v>
      </c>
      <c r="M397" s="177">
        <v>3913.86</v>
      </c>
    </row>
    <row r="398" spans="1:11" ht="12">
      <c r="A398" s="337" t="s">
        <v>971</v>
      </c>
      <c r="B398" s="375" t="s">
        <v>46</v>
      </c>
      <c r="C398" s="380"/>
      <c r="D398" s="371" t="s">
        <v>942</v>
      </c>
      <c r="E398" s="406">
        <v>1</v>
      </c>
      <c r="F398" s="372" t="s">
        <v>943</v>
      </c>
      <c r="G398" s="373">
        <f>H398*0.3</f>
        <v>300</v>
      </c>
      <c r="H398" s="373">
        <v>1000</v>
      </c>
      <c r="I398" s="373">
        <f>H398+G398</f>
        <v>1300</v>
      </c>
      <c r="J398" s="373">
        <f>I398*E398</f>
        <v>1300</v>
      </c>
      <c r="K398" s="265">
        <f t="shared" si="82"/>
        <v>0.0006332313033104155</v>
      </c>
    </row>
    <row r="399" spans="1:11" ht="12">
      <c r="A399" s="337" t="s">
        <v>972</v>
      </c>
      <c r="B399" s="375" t="s">
        <v>46</v>
      </c>
      <c r="C399" s="380"/>
      <c r="D399" s="371" t="s">
        <v>944</v>
      </c>
      <c r="E399" s="406">
        <v>1</v>
      </c>
      <c r="F399" s="372" t="s">
        <v>943</v>
      </c>
      <c r="G399" s="373">
        <f>H399*0.3</f>
        <v>1050</v>
      </c>
      <c r="H399" s="373">
        <v>3500</v>
      </c>
      <c r="I399" s="373">
        <f>H399+G399</f>
        <v>4550</v>
      </c>
      <c r="J399" s="373">
        <f>I399*E399</f>
        <v>4550</v>
      </c>
      <c r="K399" s="265">
        <f t="shared" si="82"/>
        <v>0.002216309561586454</v>
      </c>
    </row>
    <row r="400" spans="1:11" ht="11.25">
      <c r="A400" s="337"/>
      <c r="B400" s="377"/>
      <c r="C400" s="378"/>
      <c r="D400" s="10" t="s">
        <v>945</v>
      </c>
      <c r="E400" s="374"/>
      <c r="F400" s="367" t="s">
        <v>147</v>
      </c>
      <c r="G400" s="9"/>
      <c r="H400" s="10"/>
      <c r="I400" s="110"/>
      <c r="J400" s="368"/>
      <c r="K400" s="265">
        <f t="shared" si="82"/>
        <v>0</v>
      </c>
    </row>
    <row r="401" spans="1:12" s="184" customFormat="1" ht="11.25">
      <c r="A401" s="337" t="s">
        <v>973</v>
      </c>
      <c r="B401" s="342" t="s">
        <v>560</v>
      </c>
      <c r="C401" s="348">
        <v>71208</v>
      </c>
      <c r="D401" s="322" t="s">
        <v>660</v>
      </c>
      <c r="E401" s="401">
        <v>500</v>
      </c>
      <c r="F401" s="323" t="s">
        <v>194</v>
      </c>
      <c r="G401" s="34">
        <v>28.19</v>
      </c>
      <c r="H401" s="321">
        <v>24.96</v>
      </c>
      <c r="I401" s="320">
        <f>G401+H401</f>
        <v>53.150000000000006</v>
      </c>
      <c r="J401" s="320">
        <f>I401*E401</f>
        <v>26575.000000000004</v>
      </c>
      <c r="K401" s="265">
        <f t="shared" si="82"/>
        <v>0.012944709142672532</v>
      </c>
      <c r="L401" s="183"/>
    </row>
    <row r="402" spans="1:11" ht="11.25">
      <c r="A402" s="337"/>
      <c r="B402" s="377"/>
      <c r="C402" s="378"/>
      <c r="D402" s="10" t="s">
        <v>946</v>
      </c>
      <c r="E402" s="374"/>
      <c r="F402" s="367" t="s">
        <v>147</v>
      </c>
      <c r="G402" s="9"/>
      <c r="H402" s="10"/>
      <c r="I402" s="110"/>
      <c r="J402" s="368"/>
      <c r="K402" s="265">
        <f t="shared" si="82"/>
        <v>0</v>
      </c>
    </row>
    <row r="403" spans="1:13" ht="11.25">
      <c r="A403" s="337" t="s">
        <v>974</v>
      </c>
      <c r="B403" s="382" t="s">
        <v>30</v>
      </c>
      <c r="C403" s="280">
        <v>92998</v>
      </c>
      <c r="D403" s="33" t="s">
        <v>947</v>
      </c>
      <c r="E403" s="397">
        <v>70</v>
      </c>
      <c r="F403" s="314" t="s">
        <v>194</v>
      </c>
      <c r="G403" s="110">
        <f aca="true" t="shared" si="83" ref="G403:G420">M403*0.15</f>
        <v>14.385</v>
      </c>
      <c r="H403" s="110">
        <f aca="true" t="shared" si="84" ref="H403:H420">M403*0.85</f>
        <v>81.515</v>
      </c>
      <c r="I403" s="34">
        <f aca="true" t="shared" si="85" ref="I403:I420">G403+H403</f>
        <v>95.9</v>
      </c>
      <c r="J403" s="34">
        <f aca="true" t="shared" si="86" ref="J403:J420">I403*E403</f>
        <v>6713</v>
      </c>
      <c r="K403" s="265">
        <f aca="true" t="shared" si="87" ref="K403:K420">J403/$J$633</f>
        <v>0.003269909030094476</v>
      </c>
      <c r="M403" s="177">
        <v>95.9</v>
      </c>
    </row>
    <row r="404" spans="1:13" ht="11.25">
      <c r="A404" s="337" t="s">
        <v>975</v>
      </c>
      <c r="B404" s="382" t="s">
        <v>30</v>
      </c>
      <c r="C404" s="280">
        <v>92998</v>
      </c>
      <c r="D404" s="33" t="s">
        <v>948</v>
      </c>
      <c r="E404" s="397">
        <v>20</v>
      </c>
      <c r="F404" s="314" t="s">
        <v>194</v>
      </c>
      <c r="G404" s="110">
        <f t="shared" si="83"/>
        <v>14.385</v>
      </c>
      <c r="H404" s="110">
        <f t="shared" si="84"/>
        <v>81.515</v>
      </c>
      <c r="I404" s="34">
        <f t="shared" si="85"/>
        <v>95.9</v>
      </c>
      <c r="J404" s="34">
        <f t="shared" si="86"/>
        <v>1918</v>
      </c>
      <c r="K404" s="265">
        <f t="shared" si="87"/>
        <v>0.000934259722884136</v>
      </c>
      <c r="M404" s="177">
        <v>95.9</v>
      </c>
    </row>
    <row r="405" spans="1:13" ht="11.25">
      <c r="A405" s="337" t="s">
        <v>976</v>
      </c>
      <c r="B405" s="375" t="s">
        <v>30</v>
      </c>
      <c r="C405" s="376">
        <v>92990</v>
      </c>
      <c r="D405" s="33" t="s">
        <v>949</v>
      </c>
      <c r="E405" s="399">
        <v>20</v>
      </c>
      <c r="F405" s="323" t="s">
        <v>194</v>
      </c>
      <c r="G405" s="110">
        <f t="shared" si="83"/>
        <v>5.811</v>
      </c>
      <c r="H405" s="110">
        <f t="shared" si="84"/>
        <v>32.929</v>
      </c>
      <c r="I405" s="34">
        <f t="shared" si="85"/>
        <v>38.74</v>
      </c>
      <c r="J405" s="34">
        <f t="shared" si="86"/>
        <v>774.8000000000001</v>
      </c>
      <c r="K405" s="265">
        <f t="shared" si="87"/>
        <v>0.00037740585677300767</v>
      </c>
      <c r="M405" s="177">
        <v>38.74</v>
      </c>
    </row>
    <row r="406" spans="1:13" ht="11.25">
      <c r="A406" s="337" t="s">
        <v>977</v>
      </c>
      <c r="B406" s="383" t="s">
        <v>30</v>
      </c>
      <c r="C406" s="381">
        <v>92994</v>
      </c>
      <c r="D406" s="33" t="s">
        <v>950</v>
      </c>
      <c r="E406" s="397">
        <v>70</v>
      </c>
      <c r="F406" s="314" t="s">
        <v>194</v>
      </c>
      <c r="G406" s="110">
        <f t="shared" si="83"/>
        <v>9.318</v>
      </c>
      <c r="H406" s="110">
        <f t="shared" si="84"/>
        <v>52.802</v>
      </c>
      <c r="I406" s="34">
        <f t="shared" si="85"/>
        <v>62.12</v>
      </c>
      <c r="J406" s="34">
        <f t="shared" si="86"/>
        <v>4348.4</v>
      </c>
      <c r="K406" s="265">
        <f t="shared" si="87"/>
        <v>0.002118109999473085</v>
      </c>
      <c r="M406" s="177">
        <v>62.12</v>
      </c>
    </row>
    <row r="407" spans="1:13" ht="11.25">
      <c r="A407" s="337" t="s">
        <v>978</v>
      </c>
      <c r="B407" s="383" t="s">
        <v>30</v>
      </c>
      <c r="C407" s="381">
        <v>92994</v>
      </c>
      <c r="D407" s="33" t="s">
        <v>951</v>
      </c>
      <c r="E407" s="397">
        <v>20</v>
      </c>
      <c r="F407" s="314" t="s">
        <v>194</v>
      </c>
      <c r="G407" s="110">
        <f t="shared" si="83"/>
        <v>9.318</v>
      </c>
      <c r="H407" s="110">
        <f t="shared" si="84"/>
        <v>52.802</v>
      </c>
      <c r="I407" s="34">
        <f t="shared" si="85"/>
        <v>62.12</v>
      </c>
      <c r="J407" s="34">
        <f t="shared" si="86"/>
        <v>1242.3999999999999</v>
      </c>
      <c r="K407" s="265">
        <f t="shared" si="87"/>
        <v>0.0006051742855637386</v>
      </c>
      <c r="M407" s="177">
        <v>62.12</v>
      </c>
    </row>
    <row r="408" spans="1:13" ht="11.25">
      <c r="A408" s="337" t="s">
        <v>979</v>
      </c>
      <c r="B408" s="383" t="s">
        <v>30</v>
      </c>
      <c r="C408" s="384">
        <v>92990</v>
      </c>
      <c r="D408" s="33" t="s">
        <v>952</v>
      </c>
      <c r="E408" s="399">
        <v>20</v>
      </c>
      <c r="F408" s="323" t="s">
        <v>194</v>
      </c>
      <c r="G408" s="110">
        <f t="shared" si="83"/>
        <v>5.811</v>
      </c>
      <c r="H408" s="110">
        <f t="shared" si="84"/>
        <v>32.929</v>
      </c>
      <c r="I408" s="34">
        <f t="shared" si="85"/>
        <v>38.74</v>
      </c>
      <c r="J408" s="34">
        <f t="shared" si="86"/>
        <v>774.8000000000001</v>
      </c>
      <c r="K408" s="265">
        <f t="shared" si="87"/>
        <v>0.00037740585677300767</v>
      </c>
      <c r="M408" s="177">
        <v>38.74</v>
      </c>
    </row>
    <row r="409" spans="1:13" ht="11.25">
      <c r="A409" s="337" t="s">
        <v>980</v>
      </c>
      <c r="B409" s="382" t="s">
        <v>30</v>
      </c>
      <c r="C409" s="280">
        <v>92996</v>
      </c>
      <c r="D409" s="33" t="s">
        <v>953</v>
      </c>
      <c r="E409" s="397">
        <v>450</v>
      </c>
      <c r="F409" s="314" t="s">
        <v>194</v>
      </c>
      <c r="G409" s="110">
        <f t="shared" si="83"/>
        <v>11.7675</v>
      </c>
      <c r="H409" s="110">
        <f t="shared" si="84"/>
        <v>66.6825</v>
      </c>
      <c r="I409" s="34">
        <f t="shared" si="85"/>
        <v>78.45</v>
      </c>
      <c r="J409" s="34">
        <f t="shared" si="86"/>
        <v>35302.5</v>
      </c>
      <c r="K409" s="265">
        <f t="shared" si="87"/>
        <v>0.017195883142396878</v>
      </c>
      <c r="M409" s="177">
        <v>78.45</v>
      </c>
    </row>
    <row r="410" spans="1:13" ht="11.25">
      <c r="A410" s="337" t="s">
        <v>981</v>
      </c>
      <c r="B410" s="382" t="s">
        <v>30</v>
      </c>
      <c r="C410" s="280">
        <v>92996</v>
      </c>
      <c r="D410" s="33" t="s">
        <v>954</v>
      </c>
      <c r="E410" s="397">
        <v>150</v>
      </c>
      <c r="F410" s="314" t="s">
        <v>194</v>
      </c>
      <c r="G410" s="110">
        <f t="shared" si="83"/>
        <v>11.7675</v>
      </c>
      <c r="H410" s="110">
        <f t="shared" si="84"/>
        <v>66.6825</v>
      </c>
      <c r="I410" s="34">
        <f t="shared" si="85"/>
        <v>78.45</v>
      </c>
      <c r="J410" s="34">
        <f t="shared" si="86"/>
        <v>11767.5</v>
      </c>
      <c r="K410" s="265">
        <f t="shared" si="87"/>
        <v>0.005731961047465626</v>
      </c>
      <c r="M410" s="177">
        <v>78.45</v>
      </c>
    </row>
    <row r="411" spans="1:13" ht="11.25">
      <c r="A411" s="337" t="s">
        <v>982</v>
      </c>
      <c r="B411" s="375" t="s">
        <v>30</v>
      </c>
      <c r="C411" s="376">
        <v>92990</v>
      </c>
      <c r="D411" s="33" t="s">
        <v>949</v>
      </c>
      <c r="E411" s="399">
        <v>150</v>
      </c>
      <c r="F411" s="323" t="s">
        <v>194</v>
      </c>
      <c r="G411" s="110">
        <f t="shared" si="83"/>
        <v>5.811</v>
      </c>
      <c r="H411" s="110">
        <f t="shared" si="84"/>
        <v>32.929</v>
      </c>
      <c r="I411" s="34">
        <f t="shared" si="85"/>
        <v>38.74</v>
      </c>
      <c r="J411" s="34">
        <f t="shared" si="86"/>
        <v>5811</v>
      </c>
      <c r="K411" s="265">
        <f t="shared" si="87"/>
        <v>0.002830543925797557</v>
      </c>
      <c r="M411" s="177">
        <v>38.74</v>
      </c>
    </row>
    <row r="412" spans="1:13" ht="11.25">
      <c r="A412" s="337" t="s">
        <v>983</v>
      </c>
      <c r="B412" s="383" t="s">
        <v>30</v>
      </c>
      <c r="C412" s="376">
        <v>92990</v>
      </c>
      <c r="D412" s="33" t="s">
        <v>955</v>
      </c>
      <c r="E412" s="397">
        <v>450</v>
      </c>
      <c r="F412" s="314" t="s">
        <v>194</v>
      </c>
      <c r="G412" s="110">
        <f t="shared" si="83"/>
        <v>5.811</v>
      </c>
      <c r="H412" s="110">
        <f t="shared" si="84"/>
        <v>32.929</v>
      </c>
      <c r="I412" s="34">
        <f t="shared" si="85"/>
        <v>38.74</v>
      </c>
      <c r="J412" s="34">
        <f t="shared" si="86"/>
        <v>17433</v>
      </c>
      <c r="K412" s="265">
        <f t="shared" si="87"/>
        <v>0.00849163177739267</v>
      </c>
      <c r="M412" s="177">
        <v>38.74</v>
      </c>
    </row>
    <row r="413" spans="1:13" ht="11.25">
      <c r="A413" s="337" t="s">
        <v>984</v>
      </c>
      <c r="B413" s="383" t="s">
        <v>30</v>
      </c>
      <c r="C413" s="376">
        <v>92990</v>
      </c>
      <c r="D413" s="33" t="s">
        <v>956</v>
      </c>
      <c r="E413" s="397">
        <v>150</v>
      </c>
      <c r="F413" s="314" t="s">
        <v>194</v>
      </c>
      <c r="G413" s="110">
        <f t="shared" si="83"/>
        <v>5.811</v>
      </c>
      <c r="H413" s="110">
        <f t="shared" si="84"/>
        <v>32.929</v>
      </c>
      <c r="I413" s="34">
        <f t="shared" si="85"/>
        <v>38.74</v>
      </c>
      <c r="J413" s="34">
        <f t="shared" si="86"/>
        <v>5811</v>
      </c>
      <c r="K413" s="265">
        <f t="shared" si="87"/>
        <v>0.002830543925797557</v>
      </c>
      <c r="M413" s="177">
        <v>38.74</v>
      </c>
    </row>
    <row r="414" spans="1:13" ht="11.25">
      <c r="A414" s="337" t="s">
        <v>985</v>
      </c>
      <c r="B414" s="383" t="s">
        <v>30</v>
      </c>
      <c r="C414" s="384">
        <v>92986</v>
      </c>
      <c r="D414" s="33" t="s">
        <v>957</v>
      </c>
      <c r="E414" s="399">
        <v>150</v>
      </c>
      <c r="F414" s="323" t="s">
        <v>194</v>
      </c>
      <c r="G414" s="110">
        <f t="shared" si="83"/>
        <v>3.1559999999999997</v>
      </c>
      <c r="H414" s="110">
        <f t="shared" si="84"/>
        <v>17.884</v>
      </c>
      <c r="I414" s="34">
        <f t="shared" si="85"/>
        <v>21.04</v>
      </c>
      <c r="J414" s="34">
        <f t="shared" si="86"/>
        <v>3156</v>
      </c>
      <c r="K414" s="265">
        <f t="shared" si="87"/>
        <v>0.00153729076403667</v>
      </c>
      <c r="M414" s="177">
        <v>21.04</v>
      </c>
    </row>
    <row r="415" spans="1:13" ht="11.25">
      <c r="A415" s="337" t="s">
        <v>986</v>
      </c>
      <c r="B415" s="382" t="s">
        <v>30</v>
      </c>
      <c r="C415" s="280">
        <v>92988</v>
      </c>
      <c r="D415" s="33" t="s">
        <v>958</v>
      </c>
      <c r="E415" s="397">
        <v>450</v>
      </c>
      <c r="F415" s="314" t="s">
        <v>194</v>
      </c>
      <c r="G415" s="110">
        <f t="shared" si="83"/>
        <v>4.2165</v>
      </c>
      <c r="H415" s="110">
        <f t="shared" si="84"/>
        <v>23.8935</v>
      </c>
      <c r="I415" s="34">
        <f t="shared" si="85"/>
        <v>28.11</v>
      </c>
      <c r="J415" s="34">
        <f t="shared" si="86"/>
        <v>12649.5</v>
      </c>
      <c r="K415" s="265">
        <f t="shared" si="87"/>
        <v>0.006161584131711616</v>
      </c>
      <c r="M415" s="177">
        <v>28.11</v>
      </c>
    </row>
    <row r="416" spans="1:13" ht="11.25">
      <c r="A416" s="337" t="s">
        <v>987</v>
      </c>
      <c r="B416" s="382" t="s">
        <v>30</v>
      </c>
      <c r="C416" s="280">
        <v>92988</v>
      </c>
      <c r="D416" s="33" t="s">
        <v>959</v>
      </c>
      <c r="E416" s="397">
        <v>150</v>
      </c>
      <c r="F416" s="314" t="s">
        <v>194</v>
      </c>
      <c r="G416" s="110">
        <f t="shared" si="83"/>
        <v>4.2165</v>
      </c>
      <c r="H416" s="110">
        <f t="shared" si="84"/>
        <v>23.8935</v>
      </c>
      <c r="I416" s="34">
        <f t="shared" si="85"/>
        <v>28.11</v>
      </c>
      <c r="J416" s="34">
        <f t="shared" si="86"/>
        <v>4216.5</v>
      </c>
      <c r="K416" s="265">
        <f t="shared" si="87"/>
        <v>0.002053861377237205</v>
      </c>
      <c r="M416" s="177">
        <v>28.11</v>
      </c>
    </row>
    <row r="417" spans="1:13" ht="11.25">
      <c r="A417" s="337" t="s">
        <v>988</v>
      </c>
      <c r="B417" s="375" t="s">
        <v>30</v>
      </c>
      <c r="C417" s="376">
        <v>92984</v>
      </c>
      <c r="D417" s="33" t="s">
        <v>960</v>
      </c>
      <c r="E417" s="399">
        <v>150</v>
      </c>
      <c r="F417" s="323" t="s">
        <v>194</v>
      </c>
      <c r="G417" s="110">
        <f t="shared" si="83"/>
        <v>2.439</v>
      </c>
      <c r="H417" s="110">
        <f t="shared" si="84"/>
        <v>13.821000000000002</v>
      </c>
      <c r="I417" s="34">
        <f t="shared" si="85"/>
        <v>16.26</v>
      </c>
      <c r="J417" s="34">
        <f t="shared" si="86"/>
        <v>2439.0000000000005</v>
      </c>
      <c r="K417" s="265">
        <f t="shared" si="87"/>
        <v>0.001188039345210849</v>
      </c>
      <c r="M417" s="177">
        <v>16.26</v>
      </c>
    </row>
    <row r="418" spans="1:13" ht="11.25">
      <c r="A418" s="337" t="s">
        <v>989</v>
      </c>
      <c r="B418" s="383" t="s">
        <v>30</v>
      </c>
      <c r="C418" s="381">
        <v>92986</v>
      </c>
      <c r="D418" s="33" t="s">
        <v>961</v>
      </c>
      <c r="E418" s="397">
        <v>480</v>
      </c>
      <c r="F418" s="314" t="s">
        <v>194</v>
      </c>
      <c r="G418" s="110">
        <f t="shared" si="83"/>
        <v>3.1559999999999997</v>
      </c>
      <c r="H418" s="110">
        <f t="shared" si="84"/>
        <v>17.884</v>
      </c>
      <c r="I418" s="34">
        <f t="shared" si="85"/>
        <v>21.04</v>
      </c>
      <c r="J418" s="34">
        <f t="shared" si="86"/>
        <v>10099.199999999999</v>
      </c>
      <c r="K418" s="265">
        <f t="shared" si="87"/>
        <v>0.004919330444917344</v>
      </c>
      <c r="M418" s="177">
        <v>21.04</v>
      </c>
    </row>
    <row r="419" spans="1:13" ht="11.25">
      <c r="A419" s="337" t="s">
        <v>990</v>
      </c>
      <c r="B419" s="383" t="s">
        <v>30</v>
      </c>
      <c r="C419" s="381">
        <v>92986</v>
      </c>
      <c r="D419" s="33" t="s">
        <v>962</v>
      </c>
      <c r="E419" s="397">
        <v>150</v>
      </c>
      <c r="F419" s="314" t="s">
        <v>194</v>
      </c>
      <c r="G419" s="110">
        <f t="shared" si="83"/>
        <v>3.1559999999999997</v>
      </c>
      <c r="H419" s="110">
        <f t="shared" si="84"/>
        <v>17.884</v>
      </c>
      <c r="I419" s="34">
        <f t="shared" si="85"/>
        <v>21.04</v>
      </c>
      <c r="J419" s="34">
        <f t="shared" si="86"/>
        <v>3156</v>
      </c>
      <c r="K419" s="265">
        <f t="shared" si="87"/>
        <v>0.00153729076403667</v>
      </c>
      <c r="M419" s="177">
        <v>21.04</v>
      </c>
    </row>
    <row r="420" spans="1:13" ht="11.25">
      <c r="A420" s="337" t="s">
        <v>991</v>
      </c>
      <c r="B420" s="383" t="s">
        <v>30</v>
      </c>
      <c r="C420" s="384">
        <v>92982</v>
      </c>
      <c r="D420" s="33" t="s">
        <v>963</v>
      </c>
      <c r="E420" s="399">
        <v>150</v>
      </c>
      <c r="F420" s="323" t="s">
        <v>194</v>
      </c>
      <c r="G420" s="110">
        <f t="shared" si="83"/>
        <v>1.461</v>
      </c>
      <c r="H420" s="110">
        <f t="shared" si="84"/>
        <v>8.279</v>
      </c>
      <c r="I420" s="34">
        <f t="shared" si="85"/>
        <v>9.74</v>
      </c>
      <c r="J420" s="34">
        <f t="shared" si="86"/>
        <v>1461</v>
      </c>
      <c r="K420" s="265">
        <f t="shared" si="87"/>
        <v>0.0007116545647203977</v>
      </c>
      <c r="M420" s="177">
        <v>9.74</v>
      </c>
    </row>
    <row r="421" spans="1:11" ht="11.25">
      <c r="A421" s="394"/>
      <c r="B421" s="520"/>
      <c r="C421" s="520"/>
      <c r="D421" s="388" t="s">
        <v>1011</v>
      </c>
      <c r="E421" s="409"/>
      <c r="F421" s="388"/>
      <c r="G421" s="339"/>
      <c r="H421" s="339"/>
      <c r="I421" s="34"/>
      <c r="J421" s="34"/>
      <c r="K421" s="265">
        <f>J421/$J$633</f>
        <v>0</v>
      </c>
    </row>
    <row r="422" spans="1:11" ht="22.5">
      <c r="A422" s="394"/>
      <c r="B422" s="520"/>
      <c r="C422" s="520"/>
      <c r="D422" s="387" t="s">
        <v>964</v>
      </c>
      <c r="E422" s="409"/>
      <c r="F422" s="388"/>
      <c r="G422" s="339"/>
      <c r="H422" s="339"/>
      <c r="I422" s="34"/>
      <c r="J422" s="34"/>
      <c r="K422" s="265">
        <f>J422/$J$633</f>
        <v>0</v>
      </c>
    </row>
    <row r="423" spans="1:11" ht="22.5">
      <c r="A423" s="337" t="s">
        <v>992</v>
      </c>
      <c r="B423" s="520" t="s">
        <v>46</v>
      </c>
      <c r="C423" s="520"/>
      <c r="D423" s="389" t="s">
        <v>1012</v>
      </c>
      <c r="E423" s="410">
        <v>2</v>
      </c>
      <c r="F423" s="390" t="s">
        <v>194</v>
      </c>
      <c r="G423" s="339">
        <v>23.4</v>
      </c>
      <c r="H423" s="339">
        <v>78</v>
      </c>
      <c r="I423" s="34">
        <f>H423+G423</f>
        <v>101.4</v>
      </c>
      <c r="J423" s="34">
        <f>I423*E423</f>
        <v>202.8</v>
      </c>
      <c r="K423" s="265">
        <f>J423/$J$633</f>
        <v>9.878408331642481E-05</v>
      </c>
    </row>
    <row r="424" spans="1:11" ht="11.25">
      <c r="A424" s="337" t="s">
        <v>993</v>
      </c>
      <c r="B424" s="520" t="s">
        <v>46</v>
      </c>
      <c r="C424" s="520"/>
      <c r="D424" s="389" t="s">
        <v>1013</v>
      </c>
      <c r="E424" s="410">
        <v>10</v>
      </c>
      <c r="F424" s="390" t="s">
        <v>943</v>
      </c>
      <c r="G424" s="339">
        <f>H424*0.3</f>
        <v>2.37</v>
      </c>
      <c r="H424" s="339">
        <v>7.9</v>
      </c>
      <c r="I424" s="34">
        <f>H424+G424</f>
        <v>10.27</v>
      </c>
      <c r="J424" s="34">
        <f>I424*E424</f>
        <v>102.69999999999999</v>
      </c>
      <c r="K424" s="265">
        <f>J424/$J$633</f>
        <v>5.002527296152281E-05</v>
      </c>
    </row>
    <row r="425" spans="1:11" ht="11.25">
      <c r="A425" s="337" t="s">
        <v>994</v>
      </c>
      <c r="B425" s="520" t="s">
        <v>46</v>
      </c>
      <c r="C425" s="520"/>
      <c r="D425" s="387" t="s">
        <v>1014</v>
      </c>
      <c r="E425" s="410">
        <v>50</v>
      </c>
      <c r="F425" s="390" t="s">
        <v>194</v>
      </c>
      <c r="G425" s="339">
        <f>H425*0.3</f>
        <v>20.099999999999998</v>
      </c>
      <c r="H425" s="339">
        <v>67</v>
      </c>
      <c r="I425" s="34">
        <f>H425+G425</f>
        <v>87.1</v>
      </c>
      <c r="J425" s="34">
        <f>I425*E425</f>
        <v>4355</v>
      </c>
      <c r="K425" s="265">
        <f>J425/$J$633</f>
        <v>0.0021213248660898916</v>
      </c>
    </row>
    <row r="426" spans="1:11" ht="11.25">
      <c r="A426" s="337" t="s">
        <v>995</v>
      </c>
      <c r="B426" s="520" t="s">
        <v>46</v>
      </c>
      <c r="C426" s="520"/>
      <c r="D426" s="389" t="s">
        <v>1015</v>
      </c>
      <c r="E426" s="410">
        <v>9</v>
      </c>
      <c r="F426" s="390" t="s">
        <v>943</v>
      </c>
      <c r="G426" s="339">
        <f>0.4*H426</f>
        <v>11.56</v>
      </c>
      <c r="H426" s="339">
        <v>28.9</v>
      </c>
      <c r="I426" s="34">
        <f>H426+G426</f>
        <v>40.46</v>
      </c>
      <c r="J426" s="34">
        <f>I426*E426</f>
        <v>364.14</v>
      </c>
      <c r="K426" s="265">
        <f>J426/$J$633</f>
        <v>0.00017737295906727283</v>
      </c>
    </row>
    <row r="427" spans="1:11" ht="11.25">
      <c r="A427" s="337" t="s">
        <v>996</v>
      </c>
      <c r="B427" s="520" t="s">
        <v>46</v>
      </c>
      <c r="C427" s="520"/>
      <c r="D427" s="391" t="s">
        <v>1016</v>
      </c>
      <c r="E427" s="410">
        <v>2</v>
      </c>
      <c r="F427" s="390" t="s">
        <v>943</v>
      </c>
      <c r="G427" s="339">
        <f>0.4*H427</f>
        <v>10</v>
      </c>
      <c r="H427" s="339">
        <v>25</v>
      </c>
      <c r="I427" s="34">
        <f>H427+G427</f>
        <v>35</v>
      </c>
      <c r="J427" s="34">
        <f>I427*E427</f>
        <v>70</v>
      </c>
      <c r="K427" s="265">
        <f>J427/$J$633</f>
        <v>3.409707017825314E-05</v>
      </c>
    </row>
    <row r="428" spans="1:11" ht="11.25">
      <c r="A428" s="394"/>
      <c r="B428" s="520"/>
      <c r="C428" s="520"/>
      <c r="D428" s="392" t="s">
        <v>1017</v>
      </c>
      <c r="E428" s="408"/>
      <c r="F428" s="392"/>
      <c r="G428" s="34"/>
      <c r="H428" s="34"/>
      <c r="I428" s="311"/>
      <c r="J428" s="472"/>
      <c r="K428" s="265">
        <f>J428/$J$633</f>
        <v>0</v>
      </c>
    </row>
    <row r="429" spans="1:11" ht="22.5">
      <c r="A429" s="394"/>
      <c r="B429" s="520"/>
      <c r="C429" s="520"/>
      <c r="D429" s="358" t="s">
        <v>964</v>
      </c>
      <c r="E429" s="408"/>
      <c r="F429" s="392"/>
      <c r="G429" s="34"/>
      <c r="H429" s="34"/>
      <c r="I429" s="311"/>
      <c r="J429" s="472"/>
      <c r="K429" s="265">
        <f>J429/$J$633</f>
        <v>0</v>
      </c>
    </row>
    <row r="430" spans="1:11" ht="11.25">
      <c r="A430" s="337" t="s">
        <v>999</v>
      </c>
      <c r="B430" s="520" t="s">
        <v>46</v>
      </c>
      <c r="C430" s="520"/>
      <c r="D430" s="358" t="s">
        <v>1018</v>
      </c>
      <c r="E430" s="399">
        <v>3</v>
      </c>
      <c r="F430" s="393" t="s">
        <v>943</v>
      </c>
      <c r="G430" s="34">
        <v>46</v>
      </c>
      <c r="H430" s="34">
        <v>29.87</v>
      </c>
      <c r="I430" s="311">
        <f>H430+G430</f>
        <v>75.87</v>
      </c>
      <c r="J430" s="472">
        <f aca="true" t="shared" si="88" ref="J430:J456">I430*E430</f>
        <v>227.61</v>
      </c>
      <c r="K430" s="265">
        <f>J430/$J$633</f>
        <v>0.00011086905918960282</v>
      </c>
    </row>
    <row r="431" spans="1:12" s="184" customFormat="1" ht="11.25">
      <c r="A431" s="337" t="s">
        <v>1000</v>
      </c>
      <c r="B431" s="520" t="s">
        <v>46</v>
      </c>
      <c r="C431" s="520"/>
      <c r="D431" s="336" t="s">
        <v>1019</v>
      </c>
      <c r="E431" s="399">
        <v>3</v>
      </c>
      <c r="F431" s="393" t="s">
        <v>943</v>
      </c>
      <c r="G431" s="34">
        <f>0.4*H431</f>
        <v>5</v>
      </c>
      <c r="H431" s="34">
        <v>12.5</v>
      </c>
      <c r="I431" s="311">
        <f>H431+G431</f>
        <v>17.5</v>
      </c>
      <c r="J431" s="472">
        <f t="shared" si="88"/>
        <v>52.5</v>
      </c>
      <c r="K431" s="265">
        <f>J431/$J$633</f>
        <v>2.5572802633689853E-05</v>
      </c>
      <c r="L431" s="183"/>
    </row>
    <row r="432" spans="1:11" ht="11.25">
      <c r="A432" s="337" t="s">
        <v>1001</v>
      </c>
      <c r="B432" s="520" t="s">
        <v>46</v>
      </c>
      <c r="C432" s="520"/>
      <c r="D432" s="336" t="s">
        <v>1020</v>
      </c>
      <c r="E432" s="399">
        <v>24</v>
      </c>
      <c r="F432" s="393" t="s">
        <v>943</v>
      </c>
      <c r="G432" s="34">
        <f>0.4*H432</f>
        <v>1.8840000000000001</v>
      </c>
      <c r="H432" s="34">
        <v>4.71</v>
      </c>
      <c r="I432" s="311">
        <f>H432+G432</f>
        <v>6.594</v>
      </c>
      <c r="J432" s="472">
        <f t="shared" si="88"/>
        <v>158.256</v>
      </c>
      <c r="K432" s="265">
        <f>J432/$J$633</f>
        <v>7.70866562589947E-05</v>
      </c>
    </row>
    <row r="433" spans="1:11" ht="11.25">
      <c r="A433" s="337" t="s">
        <v>1002</v>
      </c>
      <c r="B433" s="520" t="s">
        <v>46</v>
      </c>
      <c r="C433" s="520"/>
      <c r="D433" s="358" t="s">
        <v>1021</v>
      </c>
      <c r="E433" s="399">
        <v>5</v>
      </c>
      <c r="F433" s="393" t="s">
        <v>943</v>
      </c>
      <c r="G433" s="34">
        <f>0.4*H433</f>
        <v>7.68</v>
      </c>
      <c r="H433" s="34">
        <v>19.2</v>
      </c>
      <c r="I433" s="311">
        <f aca="true" t="shared" si="89" ref="I433:I456">H433+G433</f>
        <v>26.88</v>
      </c>
      <c r="J433" s="472">
        <f t="shared" si="88"/>
        <v>134.4</v>
      </c>
      <c r="K433" s="265">
        <f>J433/$J$633</f>
        <v>6.546637474224604E-05</v>
      </c>
    </row>
    <row r="434" spans="1:11" ht="11.25">
      <c r="A434" s="337" t="s">
        <v>1003</v>
      </c>
      <c r="B434" s="520" t="s">
        <v>46</v>
      </c>
      <c r="C434" s="520"/>
      <c r="D434" s="358" t="s">
        <v>1022</v>
      </c>
      <c r="E434" s="399">
        <v>3</v>
      </c>
      <c r="F434" s="393" t="s">
        <v>943</v>
      </c>
      <c r="G434" s="34">
        <f>0.4*H434</f>
        <v>2.72</v>
      </c>
      <c r="H434" s="34">
        <v>6.8</v>
      </c>
      <c r="I434" s="311">
        <f t="shared" si="89"/>
        <v>9.52</v>
      </c>
      <c r="J434" s="472">
        <f t="shared" si="88"/>
        <v>28.56</v>
      </c>
      <c r="K434" s="265">
        <f>J434/$J$633</f>
        <v>1.3911604632727281E-05</v>
      </c>
    </row>
    <row r="435" spans="1:11" ht="11.25">
      <c r="A435" s="337" t="s">
        <v>1004</v>
      </c>
      <c r="B435" s="520" t="s">
        <v>46</v>
      </c>
      <c r="C435" s="520"/>
      <c r="D435" s="358" t="s">
        <v>1023</v>
      </c>
      <c r="E435" s="399">
        <v>3</v>
      </c>
      <c r="F435" s="393" t="s">
        <v>943</v>
      </c>
      <c r="G435" s="34">
        <f aca="true" t="shared" si="90" ref="G435:G455">0.4*H435</f>
        <v>4.44</v>
      </c>
      <c r="H435" s="34">
        <v>11.1</v>
      </c>
      <c r="I435" s="311">
        <f t="shared" si="89"/>
        <v>15.54</v>
      </c>
      <c r="J435" s="472">
        <f t="shared" si="88"/>
        <v>46.62</v>
      </c>
      <c r="K435" s="265">
        <f>J435/$J$633</f>
        <v>2.270864873871659E-05</v>
      </c>
    </row>
    <row r="436" spans="1:11" ht="22.5">
      <c r="A436" s="337" t="s">
        <v>1005</v>
      </c>
      <c r="B436" s="520" t="s">
        <v>46</v>
      </c>
      <c r="C436" s="520"/>
      <c r="D436" s="358" t="s">
        <v>1024</v>
      </c>
      <c r="E436" s="399">
        <v>70</v>
      </c>
      <c r="F436" s="393" t="s">
        <v>194</v>
      </c>
      <c r="G436" s="34">
        <f t="shared" si="90"/>
        <v>16.8</v>
      </c>
      <c r="H436" s="34">
        <v>42</v>
      </c>
      <c r="I436" s="311">
        <f t="shared" si="89"/>
        <v>58.8</v>
      </c>
      <c r="J436" s="472">
        <f t="shared" si="88"/>
        <v>4116</v>
      </c>
      <c r="K436" s="265">
        <f>J436/$J$633</f>
        <v>0.0020049077264812846</v>
      </c>
    </row>
    <row r="437" spans="1:11" ht="11.25">
      <c r="A437" s="337" t="s">
        <v>1006</v>
      </c>
      <c r="B437" s="520" t="s">
        <v>46</v>
      </c>
      <c r="C437" s="520"/>
      <c r="D437" s="358" t="s">
        <v>1025</v>
      </c>
      <c r="E437" s="399">
        <v>35</v>
      </c>
      <c r="F437" s="393" t="s">
        <v>194</v>
      </c>
      <c r="G437" s="34">
        <f>0.4*H437</f>
        <v>5.800000000000001</v>
      </c>
      <c r="H437" s="34">
        <v>14.5</v>
      </c>
      <c r="I437" s="311">
        <f>H437+G437</f>
        <v>20.3</v>
      </c>
      <c r="J437" s="472">
        <f>I437*E437</f>
        <v>710.5</v>
      </c>
      <c r="K437" s="265">
        <f>J437/$J$633</f>
        <v>0.00034608526230926935</v>
      </c>
    </row>
    <row r="438" spans="1:11" ht="11.25">
      <c r="A438" s="337" t="s">
        <v>1007</v>
      </c>
      <c r="B438" s="520" t="s">
        <v>46</v>
      </c>
      <c r="C438" s="520"/>
      <c r="D438" s="358" t="s">
        <v>1026</v>
      </c>
      <c r="E438" s="399">
        <v>35</v>
      </c>
      <c r="F438" s="393" t="s">
        <v>194</v>
      </c>
      <c r="G438" s="34">
        <f t="shared" si="90"/>
        <v>3.8600000000000003</v>
      </c>
      <c r="H438" s="34">
        <v>9.65</v>
      </c>
      <c r="I438" s="311">
        <f t="shared" si="89"/>
        <v>13.510000000000002</v>
      </c>
      <c r="J438" s="472">
        <f t="shared" si="88"/>
        <v>472.8500000000001</v>
      </c>
      <c r="K438" s="265">
        <f>J438/$J$633</f>
        <v>0.0002303257090541</v>
      </c>
    </row>
    <row r="439" spans="1:11" ht="33.75">
      <c r="A439" s="337" t="s">
        <v>1008</v>
      </c>
      <c r="B439" s="520" t="s">
        <v>46</v>
      </c>
      <c r="C439" s="520"/>
      <c r="D439" s="336" t="s">
        <v>1027</v>
      </c>
      <c r="E439" s="399">
        <v>3</v>
      </c>
      <c r="F439" s="393" t="s">
        <v>943</v>
      </c>
      <c r="G439" s="34">
        <f t="shared" si="90"/>
        <v>76.04</v>
      </c>
      <c r="H439" s="34">
        <v>190.1</v>
      </c>
      <c r="I439" s="311">
        <f t="shared" si="89"/>
        <v>266.14</v>
      </c>
      <c r="J439" s="472">
        <f t="shared" si="88"/>
        <v>798.42</v>
      </c>
      <c r="K439" s="265">
        <f>J439/$J$633</f>
        <v>0.0003889111824531553</v>
      </c>
    </row>
    <row r="440" spans="1:11" ht="22.5">
      <c r="A440" s="337" t="s">
        <v>1009</v>
      </c>
      <c r="B440" s="520" t="s">
        <v>46</v>
      </c>
      <c r="C440" s="520"/>
      <c r="D440" s="358" t="s">
        <v>1028</v>
      </c>
      <c r="E440" s="399">
        <v>9</v>
      </c>
      <c r="F440" s="393" t="s">
        <v>943</v>
      </c>
      <c r="G440" s="34">
        <f t="shared" si="90"/>
        <v>0.8800000000000001</v>
      </c>
      <c r="H440" s="34">
        <v>2.2</v>
      </c>
      <c r="I440" s="311">
        <f t="shared" si="89"/>
        <v>3.08</v>
      </c>
      <c r="J440" s="472">
        <f t="shared" si="88"/>
        <v>27.72</v>
      </c>
      <c r="K440" s="265">
        <f>J440/$J$633</f>
        <v>1.3502439790588243E-05</v>
      </c>
    </row>
    <row r="441" spans="1:11" ht="11.25">
      <c r="A441" s="337" t="s">
        <v>1010</v>
      </c>
      <c r="B441" s="520" t="s">
        <v>46</v>
      </c>
      <c r="C441" s="520"/>
      <c r="D441" s="358" t="s">
        <v>1029</v>
      </c>
      <c r="E441" s="399">
        <v>9</v>
      </c>
      <c r="F441" s="393" t="s">
        <v>943</v>
      </c>
      <c r="G441" s="34">
        <f t="shared" si="90"/>
        <v>1.04</v>
      </c>
      <c r="H441" s="34">
        <v>2.6</v>
      </c>
      <c r="I441" s="311">
        <f t="shared" si="89"/>
        <v>3.64</v>
      </c>
      <c r="J441" s="472">
        <f t="shared" si="88"/>
        <v>32.76</v>
      </c>
      <c r="K441" s="265">
        <f>J441/$J$633</f>
        <v>1.595742884342247E-05</v>
      </c>
    </row>
    <row r="442" spans="1:12" s="184" customFormat="1" ht="11.25">
      <c r="A442" s="337" t="s">
        <v>1045</v>
      </c>
      <c r="B442" s="520" t="s">
        <v>46</v>
      </c>
      <c r="C442" s="520"/>
      <c r="D442" s="387" t="s">
        <v>1030</v>
      </c>
      <c r="E442" s="410">
        <v>1</v>
      </c>
      <c r="F442" s="390" t="s">
        <v>943</v>
      </c>
      <c r="G442" s="34">
        <v>5</v>
      </c>
      <c r="H442" s="34">
        <v>20</v>
      </c>
      <c r="I442" s="311">
        <f t="shared" si="89"/>
        <v>25</v>
      </c>
      <c r="J442" s="472">
        <f t="shared" si="88"/>
        <v>25</v>
      </c>
      <c r="K442" s="265">
        <f>J442/$J$633</f>
        <v>1.2177525063661836E-05</v>
      </c>
      <c r="L442" s="183"/>
    </row>
    <row r="443" spans="1:11" ht="11.25">
      <c r="A443" s="337" t="s">
        <v>1046</v>
      </c>
      <c r="B443" s="520" t="s">
        <v>46</v>
      </c>
      <c r="C443" s="520"/>
      <c r="D443" s="358" t="s">
        <v>1031</v>
      </c>
      <c r="E443" s="399">
        <v>5</v>
      </c>
      <c r="F443" s="393" t="s">
        <v>71</v>
      </c>
      <c r="G443" s="34">
        <f t="shared" si="90"/>
        <v>2.8000000000000003</v>
      </c>
      <c r="H443" s="34">
        <v>7</v>
      </c>
      <c r="I443" s="311">
        <f t="shared" si="89"/>
        <v>9.8</v>
      </c>
      <c r="J443" s="472">
        <f t="shared" si="88"/>
        <v>49</v>
      </c>
      <c r="K443" s="265">
        <f>J443/$J$633</f>
        <v>2.38679491247772E-05</v>
      </c>
    </row>
    <row r="444" spans="1:11" ht="11.25">
      <c r="A444" s="337" t="s">
        <v>1047</v>
      </c>
      <c r="B444" s="520" t="s">
        <v>46</v>
      </c>
      <c r="C444" s="520"/>
      <c r="D444" s="336" t="s">
        <v>1032</v>
      </c>
      <c r="E444" s="399">
        <v>3</v>
      </c>
      <c r="F444" s="393" t="s">
        <v>943</v>
      </c>
      <c r="G444" s="34">
        <f t="shared" si="90"/>
        <v>49.6</v>
      </c>
      <c r="H444" s="34">
        <v>124</v>
      </c>
      <c r="I444" s="311">
        <f t="shared" si="89"/>
        <v>173.6</v>
      </c>
      <c r="J444" s="472">
        <f t="shared" si="88"/>
        <v>520.8</v>
      </c>
      <c r="K444" s="265">
        <f>J444/$J$633</f>
        <v>0.00025368220212620334</v>
      </c>
    </row>
    <row r="445" spans="1:11" ht="11.25">
      <c r="A445" s="337" t="s">
        <v>1048</v>
      </c>
      <c r="B445" s="520" t="s">
        <v>46</v>
      </c>
      <c r="C445" s="520"/>
      <c r="D445" s="336" t="s">
        <v>1033</v>
      </c>
      <c r="E445" s="399">
        <v>3</v>
      </c>
      <c r="F445" s="393" t="s">
        <v>943</v>
      </c>
      <c r="G445" s="34">
        <f t="shared" si="90"/>
        <v>7.920000000000001</v>
      </c>
      <c r="H445" s="34">
        <v>19.8</v>
      </c>
      <c r="I445" s="311">
        <f t="shared" si="89"/>
        <v>27.720000000000002</v>
      </c>
      <c r="J445" s="472">
        <f t="shared" si="88"/>
        <v>83.16000000000001</v>
      </c>
      <c r="K445" s="265">
        <f>J445/$J$633</f>
        <v>4.0507319371764735E-05</v>
      </c>
    </row>
    <row r="446" spans="1:11" ht="11.25">
      <c r="A446" s="337" t="s">
        <v>1049</v>
      </c>
      <c r="B446" s="520" t="s">
        <v>46</v>
      </c>
      <c r="C446" s="520"/>
      <c r="D446" s="336" t="s">
        <v>1034</v>
      </c>
      <c r="E446" s="399">
        <v>3</v>
      </c>
      <c r="F446" s="393" t="s">
        <v>943</v>
      </c>
      <c r="G446" s="34">
        <f t="shared" si="90"/>
        <v>3.6</v>
      </c>
      <c r="H446" s="34">
        <v>9</v>
      </c>
      <c r="I446" s="311">
        <f t="shared" si="89"/>
        <v>12.6</v>
      </c>
      <c r="J446" s="472">
        <f t="shared" si="88"/>
        <v>37.8</v>
      </c>
      <c r="K446" s="265">
        <f>J446/$J$633</f>
        <v>1.8412417896256695E-05</v>
      </c>
    </row>
    <row r="447" spans="1:11" ht="11.25">
      <c r="A447" s="337" t="s">
        <v>1050</v>
      </c>
      <c r="B447" s="520" t="s">
        <v>46</v>
      </c>
      <c r="C447" s="520"/>
      <c r="D447" s="336" t="s">
        <v>1035</v>
      </c>
      <c r="E447" s="399">
        <v>3</v>
      </c>
      <c r="F447" s="393" t="s">
        <v>943</v>
      </c>
      <c r="G447" s="34">
        <f t="shared" si="90"/>
        <v>4.58</v>
      </c>
      <c r="H447" s="34">
        <v>11.45</v>
      </c>
      <c r="I447" s="311">
        <f t="shared" si="89"/>
        <v>16.03</v>
      </c>
      <c r="J447" s="472">
        <f t="shared" si="88"/>
        <v>48.09</v>
      </c>
      <c r="K447" s="265">
        <f>J447/$J$633</f>
        <v>2.342468721245991E-05</v>
      </c>
    </row>
    <row r="448" spans="1:11" ht="11.25">
      <c r="A448" s="337" t="s">
        <v>1051</v>
      </c>
      <c r="B448" s="520" t="s">
        <v>46</v>
      </c>
      <c r="C448" s="520"/>
      <c r="D448" s="336" t="s">
        <v>1036</v>
      </c>
      <c r="E448" s="399">
        <v>1</v>
      </c>
      <c r="F448" s="393" t="s">
        <v>943</v>
      </c>
      <c r="G448" s="34">
        <f t="shared" si="90"/>
        <v>17.36</v>
      </c>
      <c r="H448" s="34">
        <v>43.4</v>
      </c>
      <c r="I448" s="311">
        <f t="shared" si="89"/>
        <v>60.76</v>
      </c>
      <c r="J448" s="472">
        <f t="shared" si="88"/>
        <v>60.76</v>
      </c>
      <c r="K448" s="265">
        <f>J448/$J$633</f>
        <v>2.9596256914723724E-05</v>
      </c>
    </row>
    <row r="449" spans="1:11" ht="11.25">
      <c r="A449" s="337" t="s">
        <v>1052</v>
      </c>
      <c r="B449" s="520" t="s">
        <v>46</v>
      </c>
      <c r="C449" s="520"/>
      <c r="D449" s="336" t="s">
        <v>1037</v>
      </c>
      <c r="E449" s="399">
        <v>1</v>
      </c>
      <c r="F449" s="393" t="s">
        <v>943</v>
      </c>
      <c r="G449" s="34">
        <f t="shared" si="90"/>
        <v>10.920000000000002</v>
      </c>
      <c r="H449" s="34">
        <v>27.3</v>
      </c>
      <c r="I449" s="311">
        <f t="shared" si="89"/>
        <v>38.22</v>
      </c>
      <c r="J449" s="472">
        <f t="shared" si="88"/>
        <v>38.22</v>
      </c>
      <c r="K449" s="265">
        <f>J449/$J$633</f>
        <v>1.8617000317326214E-05</v>
      </c>
    </row>
    <row r="450" spans="1:11" ht="11.25">
      <c r="A450" s="337" t="s">
        <v>1053</v>
      </c>
      <c r="B450" s="520" t="s">
        <v>46</v>
      </c>
      <c r="C450" s="520"/>
      <c r="D450" s="336" t="s">
        <v>1038</v>
      </c>
      <c r="E450" s="399">
        <v>3</v>
      </c>
      <c r="F450" s="393" t="s">
        <v>943</v>
      </c>
      <c r="G450" s="34">
        <f t="shared" si="90"/>
        <v>1.64</v>
      </c>
      <c r="H450" s="34">
        <v>4.1</v>
      </c>
      <c r="I450" s="311">
        <f t="shared" si="89"/>
        <v>5.739999999999999</v>
      </c>
      <c r="J450" s="472">
        <f t="shared" si="88"/>
        <v>17.22</v>
      </c>
      <c r="K450" s="265">
        <f>J450/$J$633</f>
        <v>8.387879263850272E-06</v>
      </c>
    </row>
    <row r="451" spans="1:11" ht="11.25">
      <c r="A451" s="337" t="s">
        <v>1054</v>
      </c>
      <c r="B451" s="520" t="s">
        <v>46</v>
      </c>
      <c r="C451" s="520"/>
      <c r="D451" s="336" t="s">
        <v>1039</v>
      </c>
      <c r="E451" s="399">
        <v>3</v>
      </c>
      <c r="F451" s="393" t="s">
        <v>943</v>
      </c>
      <c r="G451" s="34">
        <f t="shared" si="90"/>
        <v>1.92</v>
      </c>
      <c r="H451" s="34">
        <v>4.8</v>
      </c>
      <c r="I451" s="311">
        <f t="shared" si="89"/>
        <v>6.72</v>
      </c>
      <c r="J451" s="472">
        <f t="shared" si="88"/>
        <v>20.16</v>
      </c>
      <c r="K451" s="265">
        <f>J451/$J$633</f>
        <v>9.819956211336904E-06</v>
      </c>
    </row>
    <row r="452" spans="1:11" ht="11.25">
      <c r="A452" s="337" t="s">
        <v>1055</v>
      </c>
      <c r="B452" s="520" t="s">
        <v>46</v>
      </c>
      <c r="C452" s="520"/>
      <c r="D452" s="336" t="s">
        <v>1040</v>
      </c>
      <c r="E452" s="399">
        <v>3</v>
      </c>
      <c r="F452" s="393" t="s">
        <v>943</v>
      </c>
      <c r="G452" s="34">
        <f t="shared" si="90"/>
        <v>2.4000000000000004</v>
      </c>
      <c r="H452" s="34">
        <v>6</v>
      </c>
      <c r="I452" s="311">
        <f t="shared" si="89"/>
        <v>8.4</v>
      </c>
      <c r="J452" s="472">
        <f t="shared" si="88"/>
        <v>25.200000000000003</v>
      </c>
      <c r="K452" s="265">
        <f>J452/$J$633</f>
        <v>1.2274945264171131E-05</v>
      </c>
    </row>
    <row r="453" spans="1:11" ht="11.25">
      <c r="A453" s="337" t="s">
        <v>1056</v>
      </c>
      <c r="B453" s="520" t="s">
        <v>46</v>
      </c>
      <c r="C453" s="520"/>
      <c r="D453" s="336" t="s">
        <v>1041</v>
      </c>
      <c r="E453" s="399">
        <v>3</v>
      </c>
      <c r="F453" s="393" t="s">
        <v>943</v>
      </c>
      <c r="G453" s="34">
        <f t="shared" si="90"/>
        <v>2.4000000000000004</v>
      </c>
      <c r="H453" s="34">
        <v>6</v>
      </c>
      <c r="I453" s="311">
        <f t="shared" si="89"/>
        <v>8.4</v>
      </c>
      <c r="J453" s="472">
        <f t="shared" si="88"/>
        <v>25.200000000000003</v>
      </c>
      <c r="K453" s="265">
        <f>J453/$J$633</f>
        <v>1.2274945264171131E-05</v>
      </c>
    </row>
    <row r="454" spans="1:11" ht="11.25">
      <c r="A454" s="337" t="s">
        <v>1057</v>
      </c>
      <c r="B454" s="520" t="s">
        <v>46</v>
      </c>
      <c r="C454" s="520"/>
      <c r="D454" s="336" t="s">
        <v>1042</v>
      </c>
      <c r="E454" s="399">
        <v>3</v>
      </c>
      <c r="F454" s="393" t="s">
        <v>943</v>
      </c>
      <c r="G454" s="34">
        <f t="shared" si="90"/>
        <v>0.48</v>
      </c>
      <c r="H454" s="34">
        <v>1.2</v>
      </c>
      <c r="I454" s="311">
        <f>H454+G454</f>
        <v>1.68</v>
      </c>
      <c r="J454" s="472">
        <f>I454*E454</f>
        <v>5.04</v>
      </c>
      <c r="K454" s="265">
        <f>J454/$J$633</f>
        <v>2.454989052834226E-06</v>
      </c>
    </row>
    <row r="455" spans="1:11" ht="11.25">
      <c r="A455" s="337" t="s">
        <v>1058</v>
      </c>
      <c r="B455" s="520" t="s">
        <v>46</v>
      </c>
      <c r="C455" s="520"/>
      <c r="D455" s="336" t="s">
        <v>1043</v>
      </c>
      <c r="E455" s="399">
        <v>6</v>
      </c>
      <c r="F455" s="393" t="s">
        <v>943</v>
      </c>
      <c r="G455" s="34">
        <f t="shared" si="90"/>
        <v>0.8400000000000001</v>
      </c>
      <c r="H455" s="34">
        <v>2.1</v>
      </c>
      <c r="I455" s="311">
        <f t="shared" si="89"/>
        <v>2.9400000000000004</v>
      </c>
      <c r="J455" s="472">
        <f t="shared" si="88"/>
        <v>17.64</v>
      </c>
      <c r="K455" s="265">
        <f>J455/$J$633</f>
        <v>8.592461684919792E-06</v>
      </c>
    </row>
    <row r="456" spans="1:11" ht="11.25">
      <c r="A456" s="337" t="s">
        <v>1059</v>
      </c>
      <c r="B456" s="520" t="s">
        <v>46</v>
      </c>
      <c r="C456" s="520"/>
      <c r="D456" s="336" t="s">
        <v>1044</v>
      </c>
      <c r="E456" s="399">
        <v>6</v>
      </c>
      <c r="F456" s="393" t="s">
        <v>943</v>
      </c>
      <c r="G456" s="34">
        <f>0.4*H456</f>
        <v>12.880000000000003</v>
      </c>
      <c r="H456" s="34">
        <v>32.2</v>
      </c>
      <c r="I456" s="311">
        <f t="shared" si="89"/>
        <v>45.080000000000005</v>
      </c>
      <c r="J456" s="472">
        <f t="shared" si="88"/>
        <v>270.48</v>
      </c>
      <c r="K456" s="265">
        <f>J456/$J$633</f>
        <v>0.00013175107916877014</v>
      </c>
    </row>
    <row r="457" spans="1:12" s="189" customFormat="1" ht="11.25">
      <c r="A457" s="451" t="s">
        <v>2</v>
      </c>
      <c r="B457" s="129"/>
      <c r="C457" s="450"/>
      <c r="D457" s="452" t="s">
        <v>113</v>
      </c>
      <c r="E457" s="396"/>
      <c r="F457" s="453"/>
      <c r="G457" s="454"/>
      <c r="H457" s="455"/>
      <c r="I457" s="455"/>
      <c r="J457" s="454">
        <f>J458+J479+J534+J558</f>
        <v>214131.888635</v>
      </c>
      <c r="K457" s="43">
        <f>J457/$J$633</f>
        <v>0.10430385763127831</v>
      </c>
      <c r="L457" s="195"/>
    </row>
    <row r="458" spans="1:12" s="189" customFormat="1" ht="11.25">
      <c r="A458" s="456"/>
      <c r="B458" s="449"/>
      <c r="C458" s="450"/>
      <c r="D458" s="338" t="s">
        <v>538</v>
      </c>
      <c r="E458" s="365"/>
      <c r="F458" s="340"/>
      <c r="G458" s="341"/>
      <c r="H458" s="341"/>
      <c r="I458" s="110"/>
      <c r="J458" s="368">
        <f>SUM(J459:J478)</f>
        <v>28593.690715</v>
      </c>
      <c r="K458" s="43">
        <f>J458/$J$633</f>
        <v>0.013928015413780288</v>
      </c>
      <c r="L458" s="195"/>
    </row>
    <row r="459" spans="1:12" s="294" customFormat="1" ht="11.25">
      <c r="A459" s="291" t="s">
        <v>1074</v>
      </c>
      <c r="B459" s="280" t="s">
        <v>559</v>
      </c>
      <c r="C459" s="301"/>
      <c r="D459" s="281" t="s">
        <v>539</v>
      </c>
      <c r="E459" s="411">
        <v>7</v>
      </c>
      <c r="F459" s="292" t="s">
        <v>540</v>
      </c>
      <c r="G459" s="34">
        <f>H459*0.1765</f>
        <v>3.6147199999999997</v>
      </c>
      <c r="H459" s="34">
        <v>20.48</v>
      </c>
      <c r="I459" s="311">
        <f>G459+H459</f>
        <v>24.09472</v>
      </c>
      <c r="J459" s="472">
        <f>SUM(I459*E459)</f>
        <v>168.66304</v>
      </c>
      <c r="K459" s="265">
        <f>J459/$J$633</f>
        <v>8.215593587653595E-05</v>
      </c>
      <c r="L459" s="293"/>
    </row>
    <row r="460" spans="1:12" s="294" customFormat="1" ht="11.25">
      <c r="A460" s="291" t="s">
        <v>1075</v>
      </c>
      <c r="B460" s="280" t="s">
        <v>559</v>
      </c>
      <c r="C460" s="301"/>
      <c r="D460" s="281" t="s">
        <v>541</v>
      </c>
      <c r="E460" s="411">
        <v>37</v>
      </c>
      <c r="F460" s="292" t="s">
        <v>540</v>
      </c>
      <c r="G460" s="34">
        <f>H460*0.1765</f>
        <v>6.7423</v>
      </c>
      <c r="H460" s="34">
        <v>38.2</v>
      </c>
      <c r="I460" s="311">
        <f aca="true" t="shared" si="91" ref="I460:I520">G460+H460</f>
        <v>44.9423</v>
      </c>
      <c r="J460" s="472">
        <f aca="true" t="shared" si="92" ref="J460:J478">SUM(I460*E460)</f>
        <v>1662.8651000000002</v>
      </c>
      <c r="K460" s="265">
        <f>J460/$J$633</f>
        <v>0.0008099832573095419</v>
      </c>
      <c r="L460" s="293"/>
    </row>
    <row r="461" spans="1:12" s="294" customFormat="1" ht="11.25">
      <c r="A461" s="291" t="s">
        <v>1076</v>
      </c>
      <c r="B461" s="280" t="s">
        <v>559</v>
      </c>
      <c r="C461" s="301"/>
      <c r="D461" s="281" t="s">
        <v>542</v>
      </c>
      <c r="E461" s="411">
        <v>2</v>
      </c>
      <c r="F461" s="292" t="s">
        <v>540</v>
      </c>
      <c r="G461" s="34">
        <f>H461*0.1765</f>
        <v>1.3819949999999999</v>
      </c>
      <c r="H461" s="34">
        <v>7.83</v>
      </c>
      <c r="I461" s="311">
        <f t="shared" si="91"/>
        <v>9.211995</v>
      </c>
      <c r="J461" s="472">
        <f t="shared" si="92"/>
        <v>18.42399</v>
      </c>
      <c r="K461" s="265">
        <f>J461/$J$633</f>
        <v>8.974343999906201E-06</v>
      </c>
      <c r="L461" s="293"/>
    </row>
    <row r="462" spans="1:12" s="294" customFormat="1" ht="11.25">
      <c r="A462" s="291"/>
      <c r="B462" s="280"/>
      <c r="C462" s="301"/>
      <c r="D462" s="283" t="s">
        <v>543</v>
      </c>
      <c r="E462" s="411"/>
      <c r="F462" s="290"/>
      <c r="G462" s="34"/>
      <c r="H462" s="34"/>
      <c r="I462" s="311">
        <f t="shared" si="91"/>
        <v>0</v>
      </c>
      <c r="J462" s="472"/>
      <c r="K462" s="265">
        <f>J462/$J$633</f>
        <v>0</v>
      </c>
      <c r="L462" s="293"/>
    </row>
    <row r="463" spans="1:12" s="294" customFormat="1" ht="11.25">
      <c r="A463" s="291" t="s">
        <v>1077</v>
      </c>
      <c r="B463" s="280" t="s">
        <v>560</v>
      </c>
      <c r="C463" s="302">
        <v>70626</v>
      </c>
      <c r="D463" s="281" t="s">
        <v>544</v>
      </c>
      <c r="E463" s="411">
        <v>3450</v>
      </c>
      <c r="F463" s="292" t="s">
        <v>194</v>
      </c>
      <c r="G463" s="34">
        <v>1.83</v>
      </c>
      <c r="H463" s="34">
        <v>1.9</v>
      </c>
      <c r="I463" s="311">
        <f t="shared" si="91"/>
        <v>3.73</v>
      </c>
      <c r="J463" s="472">
        <f t="shared" si="92"/>
        <v>12868.5</v>
      </c>
      <c r="K463" s="265">
        <f>J463/$J$633</f>
        <v>0.0062682592512692935</v>
      </c>
      <c r="L463" s="293"/>
    </row>
    <row r="464" spans="1:12" s="294" customFormat="1" ht="11.25">
      <c r="A464" s="291"/>
      <c r="B464" s="280"/>
      <c r="C464" s="301"/>
      <c r="D464" s="283" t="s">
        <v>545</v>
      </c>
      <c r="E464" s="411"/>
      <c r="F464" s="290"/>
      <c r="G464" s="34"/>
      <c r="H464" s="34"/>
      <c r="I464" s="311">
        <f t="shared" si="91"/>
        <v>0</v>
      </c>
      <c r="J464" s="472"/>
      <c r="K464" s="265">
        <f>J464/$J$633</f>
        <v>0</v>
      </c>
      <c r="L464" s="293"/>
    </row>
    <row r="465" spans="1:12" s="294" customFormat="1" ht="11.25">
      <c r="A465" s="291" t="s">
        <v>1078</v>
      </c>
      <c r="B465" s="279" t="s">
        <v>559</v>
      </c>
      <c r="C465" s="301"/>
      <c r="D465" s="281" t="s">
        <v>546</v>
      </c>
      <c r="E465" s="412">
        <v>64</v>
      </c>
      <c r="F465" s="292" t="s">
        <v>547</v>
      </c>
      <c r="G465" s="34">
        <f>H465*0.1765</f>
        <v>0.725415</v>
      </c>
      <c r="H465" s="34">
        <v>4.11</v>
      </c>
      <c r="I465" s="311">
        <f t="shared" si="91"/>
        <v>4.835415</v>
      </c>
      <c r="J465" s="472">
        <f t="shared" si="92"/>
        <v>309.46656</v>
      </c>
      <c r="K465" s="265">
        <f>J465/$J$633</f>
        <v>0.00015074147163060837</v>
      </c>
      <c r="L465" s="293"/>
    </row>
    <row r="466" spans="1:12" s="294" customFormat="1" ht="11.25">
      <c r="A466" s="291" t="s">
        <v>1079</v>
      </c>
      <c r="B466" s="279" t="s">
        <v>559</v>
      </c>
      <c r="C466" s="301"/>
      <c r="D466" s="281" t="s">
        <v>548</v>
      </c>
      <c r="E466" s="412">
        <v>85</v>
      </c>
      <c r="F466" s="292" t="s">
        <v>547</v>
      </c>
      <c r="G466" s="34">
        <f>H466*0.1765</f>
        <v>1.9767999999999997</v>
      </c>
      <c r="H466" s="34">
        <v>11.2</v>
      </c>
      <c r="I466" s="311">
        <f t="shared" si="91"/>
        <v>13.176799999999998</v>
      </c>
      <c r="J466" s="472">
        <f t="shared" si="92"/>
        <v>1120.0279999999998</v>
      </c>
      <c r="K466" s="265">
        <f>J466/$J$633</f>
        <v>0.0005455667616801215</v>
      </c>
      <c r="L466" s="293"/>
    </row>
    <row r="467" spans="1:12" s="294" customFormat="1" ht="11.25">
      <c r="A467" s="291" t="s">
        <v>1080</v>
      </c>
      <c r="B467" s="279" t="s">
        <v>559</v>
      </c>
      <c r="C467" s="301"/>
      <c r="D467" s="281" t="s">
        <v>549</v>
      </c>
      <c r="E467" s="412">
        <v>52</v>
      </c>
      <c r="F467" s="292" t="s">
        <v>547</v>
      </c>
      <c r="G467" s="34">
        <f>H467*0.1765</f>
        <v>1.674985</v>
      </c>
      <c r="H467" s="34">
        <v>9.49</v>
      </c>
      <c r="I467" s="311">
        <f t="shared" si="91"/>
        <v>11.164985</v>
      </c>
      <c r="J467" s="472">
        <f t="shared" si="92"/>
        <v>580.57922</v>
      </c>
      <c r="K467" s="265">
        <f>J467/$J$633</f>
        <v>0.00028280072011964956</v>
      </c>
      <c r="L467" s="293"/>
    </row>
    <row r="468" spans="1:12" s="294" customFormat="1" ht="11.25">
      <c r="A468" s="291" t="s">
        <v>1081</v>
      </c>
      <c r="B468" s="279" t="s">
        <v>559</v>
      </c>
      <c r="C468" s="301"/>
      <c r="D468" s="281" t="s">
        <v>550</v>
      </c>
      <c r="E468" s="412">
        <v>13</v>
      </c>
      <c r="F468" s="292" t="s">
        <v>547</v>
      </c>
      <c r="G468" s="34">
        <f>H468*0.1765</f>
        <v>1.674985</v>
      </c>
      <c r="H468" s="34">
        <v>9.49</v>
      </c>
      <c r="I468" s="311">
        <f t="shared" si="91"/>
        <v>11.164985</v>
      </c>
      <c r="J468" s="472">
        <f t="shared" si="92"/>
        <v>145.144805</v>
      </c>
      <c r="K468" s="265">
        <f>J468/$J$633</f>
        <v>7.070018002991239E-05</v>
      </c>
      <c r="L468" s="293"/>
    </row>
    <row r="469" spans="1:12" s="294" customFormat="1" ht="33.75">
      <c r="A469" s="291" t="s">
        <v>1082</v>
      </c>
      <c r="B469" s="279" t="s">
        <v>559</v>
      </c>
      <c r="C469" s="301"/>
      <c r="D469" s="281" t="s">
        <v>551</v>
      </c>
      <c r="E469" s="411">
        <v>120</v>
      </c>
      <c r="F469" s="292" t="s">
        <v>552</v>
      </c>
      <c r="G469" s="34">
        <v>17.05</v>
      </c>
      <c r="H469" s="34"/>
      <c r="I469" s="311">
        <f t="shared" si="91"/>
        <v>17.05</v>
      </c>
      <c r="J469" s="472">
        <f t="shared" si="92"/>
        <v>2046</v>
      </c>
      <c r="K469" s="265">
        <f>J469/$J$633</f>
        <v>0.0009966086512100847</v>
      </c>
      <c r="L469" s="293"/>
    </row>
    <row r="470" spans="1:12" s="294" customFormat="1" ht="11.25">
      <c r="A470" s="291" t="s">
        <v>1083</v>
      </c>
      <c r="B470" s="280" t="s">
        <v>559</v>
      </c>
      <c r="C470" s="301"/>
      <c r="D470" s="281" t="s">
        <v>553</v>
      </c>
      <c r="E470" s="411">
        <v>50</v>
      </c>
      <c r="F470" s="292" t="s">
        <v>540</v>
      </c>
      <c r="G470" s="34">
        <v>0.55</v>
      </c>
      <c r="H470" s="34">
        <v>2.65</v>
      </c>
      <c r="I470" s="311">
        <f t="shared" si="91"/>
        <v>3.2</v>
      </c>
      <c r="J470" s="472">
        <f>SUM(I470*E470)</f>
        <v>160</v>
      </c>
      <c r="K470" s="265">
        <f>J470/$J$633</f>
        <v>7.793616040743574E-05</v>
      </c>
      <c r="L470" s="293"/>
    </row>
    <row r="471" spans="1:12" s="294" customFormat="1" ht="11.25">
      <c r="A471" s="291"/>
      <c r="B471" s="280"/>
      <c r="C471" s="301"/>
      <c r="D471" s="283" t="s">
        <v>554</v>
      </c>
      <c r="E471" s="411"/>
      <c r="F471" s="290"/>
      <c r="G471" s="34"/>
      <c r="H471" s="34"/>
      <c r="I471" s="311">
        <f t="shared" si="91"/>
        <v>0</v>
      </c>
      <c r="J471" s="472"/>
      <c r="K471" s="265">
        <f>J471/$J$633</f>
        <v>0</v>
      </c>
      <c r="L471" s="293"/>
    </row>
    <row r="472" spans="1:13" s="294" customFormat="1" ht="11.25">
      <c r="A472" s="291" t="s">
        <v>1084</v>
      </c>
      <c r="B472" s="284" t="s">
        <v>561</v>
      </c>
      <c r="C472" s="303">
        <v>91872</v>
      </c>
      <c r="D472" s="298" t="s">
        <v>555</v>
      </c>
      <c r="E472" s="411">
        <v>315</v>
      </c>
      <c r="F472" s="298" t="s">
        <v>194</v>
      </c>
      <c r="G472" s="110">
        <f>M472*0.15</f>
        <v>1.377</v>
      </c>
      <c r="H472" s="110">
        <f>M472*0.85</f>
        <v>7.803</v>
      </c>
      <c r="I472" s="311">
        <f t="shared" si="91"/>
        <v>9.18</v>
      </c>
      <c r="J472" s="472">
        <f>SUM(I472*E472)</f>
        <v>2891.7</v>
      </c>
      <c r="K472" s="265">
        <f>J472/$J$633</f>
        <v>0.001408549969063637</v>
      </c>
      <c r="L472" s="293"/>
      <c r="M472" s="294">
        <v>9.18</v>
      </c>
    </row>
    <row r="473" spans="1:12" s="294" customFormat="1" ht="11.25">
      <c r="A473" s="291" t="s">
        <v>1085</v>
      </c>
      <c r="B473" s="280" t="s">
        <v>559</v>
      </c>
      <c r="C473" s="304"/>
      <c r="D473" s="281" t="s">
        <v>634</v>
      </c>
      <c r="E473" s="412">
        <v>52</v>
      </c>
      <c r="F473" s="299" t="s">
        <v>556</v>
      </c>
      <c r="G473" s="34">
        <v>23.85</v>
      </c>
      <c r="H473" s="34">
        <v>79.45</v>
      </c>
      <c r="I473" s="311">
        <f t="shared" si="91"/>
        <v>103.30000000000001</v>
      </c>
      <c r="J473" s="472">
        <f t="shared" si="92"/>
        <v>5371.6</v>
      </c>
      <c r="K473" s="265">
        <f>J473/$J$633</f>
        <v>0.0026165117452786367</v>
      </c>
      <c r="L473" s="293"/>
    </row>
    <row r="474" spans="1:12" s="294" customFormat="1" ht="11.25">
      <c r="A474" s="291" t="s">
        <v>1086</v>
      </c>
      <c r="B474" s="280" t="s">
        <v>559</v>
      </c>
      <c r="C474" s="304"/>
      <c r="D474" s="281" t="s">
        <v>635</v>
      </c>
      <c r="E474" s="412">
        <v>18</v>
      </c>
      <c r="F474" s="299" t="s">
        <v>556</v>
      </c>
      <c r="G474" s="34">
        <v>4.7</v>
      </c>
      <c r="H474" s="34">
        <v>15.62</v>
      </c>
      <c r="I474" s="311">
        <f t="shared" si="91"/>
        <v>20.32</v>
      </c>
      <c r="J474" s="472">
        <f t="shared" si="92"/>
        <v>365.76</v>
      </c>
      <c r="K474" s="265">
        <f>J474/$J$633</f>
        <v>0.00017816206269139813</v>
      </c>
      <c r="L474" s="293"/>
    </row>
    <row r="475" spans="1:12" s="294" customFormat="1" ht="11.25">
      <c r="A475" s="291" t="s">
        <v>1087</v>
      </c>
      <c r="B475" s="280" t="s">
        <v>559</v>
      </c>
      <c r="C475" s="304"/>
      <c r="D475" s="281" t="s">
        <v>636</v>
      </c>
      <c r="E475" s="412">
        <v>2</v>
      </c>
      <c r="F475" s="299" t="s">
        <v>556</v>
      </c>
      <c r="G475" s="34">
        <v>4.7</v>
      </c>
      <c r="H475" s="34">
        <v>15.62</v>
      </c>
      <c r="I475" s="311">
        <f t="shared" si="91"/>
        <v>20.32</v>
      </c>
      <c r="J475" s="472">
        <f t="shared" si="92"/>
        <v>40.64</v>
      </c>
      <c r="K475" s="265">
        <f>J475/$J$633</f>
        <v>1.979578474348868E-05</v>
      </c>
      <c r="L475" s="293"/>
    </row>
    <row r="476" spans="1:12" s="294" customFormat="1" ht="11.25">
      <c r="A476" s="291" t="s">
        <v>1088</v>
      </c>
      <c r="B476" s="280" t="s">
        <v>559</v>
      </c>
      <c r="C476" s="304"/>
      <c r="D476" s="281" t="s">
        <v>637</v>
      </c>
      <c r="E476" s="412">
        <v>1</v>
      </c>
      <c r="F476" s="299" t="s">
        <v>556</v>
      </c>
      <c r="G476" s="34">
        <v>4.7</v>
      </c>
      <c r="H476" s="34">
        <v>15.62</v>
      </c>
      <c r="I476" s="311">
        <f t="shared" si="91"/>
        <v>20.32</v>
      </c>
      <c r="J476" s="472">
        <f>SUM(I476*E476)</f>
        <v>20.32</v>
      </c>
      <c r="K476" s="265">
        <f>J476/$J$633</f>
        <v>9.89789237174434E-06</v>
      </c>
      <c r="L476" s="293"/>
    </row>
    <row r="477" spans="1:12" s="294" customFormat="1" ht="11.25">
      <c r="A477" s="291"/>
      <c r="B477" s="280"/>
      <c r="C477" s="301"/>
      <c r="D477" s="283" t="s">
        <v>557</v>
      </c>
      <c r="E477" s="411"/>
      <c r="F477" s="290"/>
      <c r="G477" s="34"/>
      <c r="H477" s="34"/>
      <c r="I477" s="311">
        <f t="shared" si="91"/>
        <v>0</v>
      </c>
      <c r="J477" s="472"/>
      <c r="K477" s="265">
        <f>J477/$J$633</f>
        <v>0</v>
      </c>
      <c r="L477" s="293"/>
    </row>
    <row r="478" spans="1:12" s="294" customFormat="1" ht="11.25">
      <c r="A478" s="291" t="s">
        <v>1089</v>
      </c>
      <c r="B478" s="280" t="s">
        <v>559</v>
      </c>
      <c r="C478" s="301"/>
      <c r="D478" s="281" t="s">
        <v>558</v>
      </c>
      <c r="E478" s="411">
        <v>4</v>
      </c>
      <c r="F478" s="292" t="s">
        <v>556</v>
      </c>
      <c r="G478" s="34">
        <v>35.3</v>
      </c>
      <c r="H478" s="34">
        <v>170.7</v>
      </c>
      <c r="I478" s="311">
        <f t="shared" si="91"/>
        <v>206</v>
      </c>
      <c r="J478" s="472">
        <f t="shared" si="92"/>
        <v>824</v>
      </c>
      <c r="K478" s="265">
        <f>J478/$J$633</f>
        <v>0.0004013712260982941</v>
      </c>
      <c r="L478" s="293"/>
    </row>
    <row r="479" spans="1:12" s="462" customFormat="1" ht="11.25">
      <c r="A479" s="457"/>
      <c r="B479" s="228"/>
      <c r="C479" s="129"/>
      <c r="D479" s="458" t="s">
        <v>562</v>
      </c>
      <c r="E479" s="365"/>
      <c r="F479" s="459"/>
      <c r="G479" s="460"/>
      <c r="H479" s="460"/>
      <c r="I479" s="311">
        <f t="shared" si="91"/>
        <v>0</v>
      </c>
      <c r="J479" s="368">
        <f>SUM(J480:J533)</f>
        <v>124020.96000000002</v>
      </c>
      <c r="K479" s="43">
        <f>J479/$J$633</f>
        <v>0.06041073395277609</v>
      </c>
      <c r="L479" s="461"/>
    </row>
    <row r="480" spans="1:12" s="294" customFormat="1" ht="11.25">
      <c r="A480" s="291" t="s">
        <v>1090</v>
      </c>
      <c r="B480" s="280" t="s">
        <v>559</v>
      </c>
      <c r="C480" s="304"/>
      <c r="D480" s="281" t="s">
        <v>539</v>
      </c>
      <c r="E480" s="411">
        <v>30</v>
      </c>
      <c r="F480" s="292" t="s">
        <v>540</v>
      </c>
      <c r="G480" s="34">
        <v>3.61</v>
      </c>
      <c r="H480" s="34">
        <v>17.48</v>
      </c>
      <c r="I480" s="311">
        <f t="shared" si="91"/>
        <v>21.09</v>
      </c>
      <c r="J480" s="472">
        <f>SUM(I480*E480)</f>
        <v>632.7</v>
      </c>
      <c r="K480" s="265">
        <f>J480/$J$633</f>
        <v>0.00030818880431115374</v>
      </c>
      <c r="L480" s="293"/>
    </row>
    <row r="481" spans="1:12" s="294" customFormat="1" ht="11.25">
      <c r="A481" s="291" t="s">
        <v>1091</v>
      </c>
      <c r="B481" s="280" t="s">
        <v>559</v>
      </c>
      <c r="C481" s="304"/>
      <c r="D481" s="281" t="s">
        <v>541</v>
      </c>
      <c r="E481" s="411">
        <v>20</v>
      </c>
      <c r="F481" s="292" t="s">
        <v>540</v>
      </c>
      <c r="G481" s="34">
        <v>6.74</v>
      </c>
      <c r="H481" s="34">
        <v>32.6</v>
      </c>
      <c r="I481" s="311">
        <f t="shared" si="91"/>
        <v>39.34</v>
      </c>
      <c r="J481" s="472">
        <f aca="true" t="shared" si="93" ref="J481:J533">SUM(I481*E481)</f>
        <v>786.8000000000001</v>
      </c>
      <c r="K481" s="265">
        <f>J481/$J$633</f>
        <v>0.0003832510688035653</v>
      </c>
      <c r="L481" s="293"/>
    </row>
    <row r="482" spans="1:12" s="294" customFormat="1" ht="11.25">
      <c r="A482" s="291"/>
      <c r="B482" s="280"/>
      <c r="C482" s="304"/>
      <c r="D482" s="283" t="s">
        <v>543</v>
      </c>
      <c r="E482" s="411"/>
      <c r="F482" s="290"/>
      <c r="G482" s="34"/>
      <c r="H482" s="34"/>
      <c r="I482" s="311">
        <f t="shared" si="91"/>
        <v>0</v>
      </c>
      <c r="J482" s="472"/>
      <c r="K482" s="265">
        <f>J482/$J$633</f>
        <v>0</v>
      </c>
      <c r="L482" s="293"/>
    </row>
    <row r="483" spans="1:12" s="294" customFormat="1" ht="11.25">
      <c r="A483" s="291" t="s">
        <v>1092</v>
      </c>
      <c r="B483" s="280" t="s">
        <v>560</v>
      </c>
      <c r="C483" s="302">
        <v>70626</v>
      </c>
      <c r="D483" s="281" t="s">
        <v>544</v>
      </c>
      <c r="E483" s="411">
        <v>3750</v>
      </c>
      <c r="F483" s="292" t="s">
        <v>194</v>
      </c>
      <c r="G483" s="34">
        <v>1.83</v>
      </c>
      <c r="H483" s="34">
        <v>1.9</v>
      </c>
      <c r="I483" s="311">
        <f t="shared" si="91"/>
        <v>3.73</v>
      </c>
      <c r="J483" s="472">
        <f t="shared" si="93"/>
        <v>13987.5</v>
      </c>
      <c r="K483" s="265">
        <f>J483/$J$633</f>
        <v>0.006813325273118797</v>
      </c>
      <c r="L483" s="293"/>
    </row>
    <row r="484" spans="1:12" s="294" customFormat="1" ht="11.25">
      <c r="A484" s="291"/>
      <c r="B484" s="280"/>
      <c r="C484" s="304"/>
      <c r="D484" s="283" t="s">
        <v>545</v>
      </c>
      <c r="E484" s="411"/>
      <c r="F484" s="290"/>
      <c r="G484" s="34"/>
      <c r="H484" s="34"/>
      <c r="I484" s="311">
        <f t="shared" si="91"/>
        <v>0</v>
      </c>
      <c r="J484" s="472"/>
      <c r="K484" s="265">
        <f>J484/$J$633</f>
        <v>0</v>
      </c>
      <c r="L484" s="293"/>
    </row>
    <row r="485" spans="1:12" s="294" customFormat="1" ht="11.25">
      <c r="A485" s="291" t="s">
        <v>1093</v>
      </c>
      <c r="B485" s="279" t="s">
        <v>559</v>
      </c>
      <c r="C485" s="304"/>
      <c r="D485" s="281" t="s">
        <v>546</v>
      </c>
      <c r="E485" s="412">
        <v>80</v>
      </c>
      <c r="F485" s="292" t="s">
        <v>547</v>
      </c>
      <c r="G485" s="34">
        <v>0.72</v>
      </c>
      <c r="H485" s="34">
        <v>4.11</v>
      </c>
      <c r="I485" s="311">
        <f t="shared" si="91"/>
        <v>4.83</v>
      </c>
      <c r="J485" s="472">
        <f t="shared" si="93"/>
        <v>386.4</v>
      </c>
      <c r="K485" s="265">
        <f>J485/$J$633</f>
        <v>0.0001882158273839573</v>
      </c>
      <c r="L485" s="293"/>
    </row>
    <row r="486" spans="1:12" s="294" customFormat="1" ht="11.25">
      <c r="A486" s="291" t="s">
        <v>1094</v>
      </c>
      <c r="B486" s="279" t="s">
        <v>559</v>
      </c>
      <c r="C486" s="304"/>
      <c r="D486" s="281" t="s">
        <v>548</v>
      </c>
      <c r="E486" s="412">
        <v>67</v>
      </c>
      <c r="F486" s="292" t="s">
        <v>547</v>
      </c>
      <c r="G486" s="34">
        <v>2.33</v>
      </c>
      <c r="H486" s="34">
        <v>11.28</v>
      </c>
      <c r="I486" s="311">
        <f t="shared" si="91"/>
        <v>13.61</v>
      </c>
      <c r="J486" s="472">
        <f t="shared" si="93"/>
        <v>911.87</v>
      </c>
      <c r="K486" s="265">
        <f>J486/$J$633</f>
        <v>0.00044417279119205274</v>
      </c>
      <c r="L486" s="293"/>
    </row>
    <row r="487" spans="1:12" s="294" customFormat="1" ht="11.25">
      <c r="A487" s="291" t="s">
        <v>1095</v>
      </c>
      <c r="B487" s="279" t="s">
        <v>559</v>
      </c>
      <c r="C487" s="304"/>
      <c r="D487" s="281" t="s">
        <v>563</v>
      </c>
      <c r="E487" s="412">
        <v>1</v>
      </c>
      <c r="F487" s="292" t="s">
        <v>547</v>
      </c>
      <c r="G487" s="34">
        <v>2.51</v>
      </c>
      <c r="H487" s="34">
        <v>12.14</v>
      </c>
      <c r="I487" s="311">
        <f t="shared" si="91"/>
        <v>14.65</v>
      </c>
      <c r="J487" s="472">
        <f>SUM(I487*E487)</f>
        <v>14.65</v>
      </c>
      <c r="K487" s="265">
        <f>J487/$J$633</f>
        <v>7.136029687305835E-06</v>
      </c>
      <c r="L487" s="293"/>
    </row>
    <row r="488" spans="1:12" s="294" customFormat="1" ht="11.25">
      <c r="A488" s="291" t="s">
        <v>1096</v>
      </c>
      <c r="B488" s="279" t="s">
        <v>559</v>
      </c>
      <c r="C488" s="304"/>
      <c r="D488" s="281" t="s">
        <v>549</v>
      </c>
      <c r="E488" s="412">
        <v>50</v>
      </c>
      <c r="F488" s="292" t="s">
        <v>547</v>
      </c>
      <c r="G488" s="34">
        <v>1.96</v>
      </c>
      <c r="H488" s="34">
        <v>9.49</v>
      </c>
      <c r="I488" s="311">
        <f t="shared" si="91"/>
        <v>11.45</v>
      </c>
      <c r="J488" s="472">
        <f t="shared" si="93"/>
        <v>572.5</v>
      </c>
      <c r="K488" s="265">
        <f>J488/$J$633</f>
        <v>0.00027886532395785603</v>
      </c>
      <c r="L488" s="293"/>
    </row>
    <row r="489" spans="1:12" s="294" customFormat="1" ht="11.25">
      <c r="A489" s="291" t="s">
        <v>1097</v>
      </c>
      <c r="B489" s="279" t="s">
        <v>559</v>
      </c>
      <c r="C489" s="304"/>
      <c r="D489" s="281" t="s">
        <v>550</v>
      </c>
      <c r="E489" s="412">
        <v>27</v>
      </c>
      <c r="F489" s="292" t="s">
        <v>547</v>
      </c>
      <c r="G489" s="34">
        <v>1.96</v>
      </c>
      <c r="H489" s="34">
        <v>9.49</v>
      </c>
      <c r="I489" s="311">
        <f t="shared" si="91"/>
        <v>11.45</v>
      </c>
      <c r="J489" s="472">
        <f t="shared" si="93"/>
        <v>309.15</v>
      </c>
      <c r="K489" s="265">
        <f>J489/$J$633</f>
        <v>0.00015058727493724226</v>
      </c>
      <c r="L489" s="293"/>
    </row>
    <row r="490" spans="1:12" s="294" customFormat="1" ht="33.75">
      <c r="A490" s="291" t="s">
        <v>1098</v>
      </c>
      <c r="B490" s="279" t="s">
        <v>559</v>
      </c>
      <c r="C490" s="304"/>
      <c r="D490" s="281" t="s">
        <v>551</v>
      </c>
      <c r="E490" s="411">
        <v>111</v>
      </c>
      <c r="F490" s="292" t="s">
        <v>552</v>
      </c>
      <c r="G490" s="34">
        <v>17.05</v>
      </c>
      <c r="H490" s="34"/>
      <c r="I490" s="311">
        <f t="shared" si="91"/>
        <v>17.05</v>
      </c>
      <c r="J490" s="472">
        <f t="shared" si="93"/>
        <v>1892.5500000000002</v>
      </c>
      <c r="K490" s="265">
        <f>J490/$J$633</f>
        <v>0.0009218630023693283</v>
      </c>
      <c r="L490" s="293"/>
    </row>
    <row r="491" spans="1:12" s="294" customFormat="1" ht="11.25">
      <c r="A491" s="291" t="s">
        <v>1099</v>
      </c>
      <c r="B491" s="280" t="s">
        <v>559</v>
      </c>
      <c r="C491" s="304"/>
      <c r="D491" s="281" t="s">
        <v>553</v>
      </c>
      <c r="E491" s="411">
        <v>50</v>
      </c>
      <c r="F491" s="292" t="s">
        <v>540</v>
      </c>
      <c r="G491" s="34">
        <v>0.55</v>
      </c>
      <c r="H491" s="34">
        <v>2.65</v>
      </c>
      <c r="I491" s="311">
        <f t="shared" si="91"/>
        <v>3.2</v>
      </c>
      <c r="J491" s="472">
        <f t="shared" si="93"/>
        <v>160</v>
      </c>
      <c r="K491" s="265">
        <f>J491/$J$633</f>
        <v>7.793616040743574E-05</v>
      </c>
      <c r="L491" s="293"/>
    </row>
    <row r="492" spans="1:12" s="294" customFormat="1" ht="22.5">
      <c r="A492" s="291" t="s">
        <v>1100</v>
      </c>
      <c r="B492" s="284" t="s">
        <v>561</v>
      </c>
      <c r="C492" s="302">
        <v>83369</v>
      </c>
      <c r="D492" s="281" t="s">
        <v>564</v>
      </c>
      <c r="E492" s="411">
        <v>2</v>
      </c>
      <c r="F492" s="292" t="s">
        <v>540</v>
      </c>
      <c r="G492" s="34">
        <f>178.89*0.15</f>
        <v>26.833499999999997</v>
      </c>
      <c r="H492" s="34">
        <f>178.89*0.85</f>
        <v>152.05649999999997</v>
      </c>
      <c r="I492" s="311">
        <f t="shared" si="91"/>
        <v>178.88999999999996</v>
      </c>
      <c r="J492" s="472">
        <f t="shared" si="93"/>
        <v>357.7799999999999</v>
      </c>
      <c r="K492" s="265">
        <f>J492/$J$633</f>
        <v>0.00017427499669107722</v>
      </c>
      <c r="L492" s="293"/>
    </row>
    <row r="493" spans="1:12" s="294" customFormat="1" ht="22.5">
      <c r="A493" s="291" t="s">
        <v>1101</v>
      </c>
      <c r="B493" s="280" t="s">
        <v>559</v>
      </c>
      <c r="C493" s="304"/>
      <c r="D493" s="281" t="s">
        <v>565</v>
      </c>
      <c r="E493" s="411">
        <v>6</v>
      </c>
      <c r="F493" s="292" t="s">
        <v>540</v>
      </c>
      <c r="G493" s="34">
        <v>3.42</v>
      </c>
      <c r="H493" s="34">
        <v>16.53</v>
      </c>
      <c r="I493" s="311">
        <f t="shared" si="91"/>
        <v>19.950000000000003</v>
      </c>
      <c r="J493" s="472">
        <f t="shared" si="93"/>
        <v>119.70000000000002</v>
      </c>
      <c r="K493" s="265">
        <f>J493/$J$633</f>
        <v>5.8305990004812875E-05</v>
      </c>
      <c r="L493" s="293"/>
    </row>
    <row r="494" spans="1:12" s="294" customFormat="1" ht="22.5">
      <c r="A494" s="291" t="s">
        <v>1102</v>
      </c>
      <c r="B494" s="280" t="s">
        <v>560</v>
      </c>
      <c r="C494" s="302">
        <v>70283</v>
      </c>
      <c r="D494" s="281" t="s">
        <v>566</v>
      </c>
      <c r="E494" s="411">
        <v>26</v>
      </c>
      <c r="F494" s="292" t="s">
        <v>540</v>
      </c>
      <c r="G494" s="34">
        <v>14.1</v>
      </c>
      <c r="H494" s="34">
        <v>6.41</v>
      </c>
      <c r="I494" s="311">
        <f t="shared" si="91"/>
        <v>20.509999999999998</v>
      </c>
      <c r="J494" s="472">
        <f t="shared" si="93"/>
        <v>533.26</v>
      </c>
      <c r="K494" s="265">
        <f>J494/$J$633</f>
        <v>0.0002597514806179324</v>
      </c>
      <c r="L494" s="293"/>
    </row>
    <row r="495" spans="1:12" s="294" customFormat="1" ht="11.25">
      <c r="A495" s="291" t="s">
        <v>1103</v>
      </c>
      <c r="B495" s="280" t="s">
        <v>598</v>
      </c>
      <c r="C495" s="304"/>
      <c r="D495" s="281" t="s">
        <v>567</v>
      </c>
      <c r="E495" s="411">
        <v>22</v>
      </c>
      <c r="F495" s="292" t="s">
        <v>540</v>
      </c>
      <c r="G495" s="34">
        <v>5.51</v>
      </c>
      <c r="H495" s="34">
        <v>26.63</v>
      </c>
      <c r="I495" s="311">
        <f t="shared" si="91"/>
        <v>32.14</v>
      </c>
      <c r="J495" s="472">
        <f t="shared" si="93"/>
        <v>707.08</v>
      </c>
      <c r="K495" s="265">
        <f>J495/$J$633</f>
        <v>0.00034441937688056045</v>
      </c>
      <c r="L495" s="293"/>
    </row>
    <row r="496" spans="1:12" s="294" customFormat="1" ht="11.25">
      <c r="A496" s="291"/>
      <c r="B496" s="280"/>
      <c r="C496" s="304"/>
      <c r="D496" s="283" t="s">
        <v>554</v>
      </c>
      <c r="E496" s="411"/>
      <c r="F496" s="290"/>
      <c r="G496" s="34"/>
      <c r="H496" s="34"/>
      <c r="I496" s="311">
        <f t="shared" si="91"/>
        <v>0</v>
      </c>
      <c r="J496" s="472"/>
      <c r="K496" s="265">
        <f>J496/$J$633</f>
        <v>0</v>
      </c>
      <c r="L496" s="293"/>
    </row>
    <row r="497" spans="1:12" s="294" customFormat="1" ht="11.25">
      <c r="A497" s="291" t="s">
        <v>1104</v>
      </c>
      <c r="B497" s="280" t="s">
        <v>559</v>
      </c>
      <c r="C497" s="304"/>
      <c r="D497" s="298" t="s">
        <v>555</v>
      </c>
      <c r="E497" s="411">
        <v>275</v>
      </c>
      <c r="F497" s="298" t="s">
        <v>194</v>
      </c>
      <c r="G497" s="34">
        <v>1.33</v>
      </c>
      <c r="H497" s="34">
        <v>7.56</v>
      </c>
      <c r="I497" s="311">
        <f t="shared" si="91"/>
        <v>8.89</v>
      </c>
      <c r="J497" s="472">
        <f t="shared" si="93"/>
        <v>2444.75</v>
      </c>
      <c r="K497" s="265">
        <f>J497/$J$633</f>
        <v>0.001190840175975491</v>
      </c>
      <c r="L497" s="293"/>
    </row>
    <row r="498" spans="1:12" s="294" customFormat="1" ht="11.25">
      <c r="A498" s="291" t="s">
        <v>1105</v>
      </c>
      <c r="B498" s="280" t="s">
        <v>559</v>
      </c>
      <c r="C498" s="304"/>
      <c r="D498" s="281" t="s">
        <v>634</v>
      </c>
      <c r="E498" s="412">
        <v>55</v>
      </c>
      <c r="F498" s="299" t="s">
        <v>556</v>
      </c>
      <c r="G498" s="34">
        <v>23.85</v>
      </c>
      <c r="H498" s="34">
        <v>79.45</v>
      </c>
      <c r="I498" s="311">
        <f t="shared" si="91"/>
        <v>103.30000000000001</v>
      </c>
      <c r="J498" s="472">
        <f t="shared" si="93"/>
        <v>5681.500000000001</v>
      </c>
      <c r="K498" s="265">
        <f>J498/$J$633</f>
        <v>0.002767464345967789</v>
      </c>
      <c r="L498" s="293"/>
    </row>
    <row r="499" spans="1:12" s="294" customFormat="1" ht="11.25">
      <c r="A499" s="291" t="s">
        <v>1106</v>
      </c>
      <c r="B499" s="280" t="s">
        <v>559</v>
      </c>
      <c r="C499" s="304"/>
      <c r="D499" s="281" t="s">
        <v>635</v>
      </c>
      <c r="E499" s="412">
        <v>50</v>
      </c>
      <c r="F499" s="299" t="s">
        <v>556</v>
      </c>
      <c r="G499" s="34">
        <v>4.7</v>
      </c>
      <c r="H499" s="34">
        <v>15.62</v>
      </c>
      <c r="I499" s="311">
        <f t="shared" si="91"/>
        <v>20.32</v>
      </c>
      <c r="J499" s="472">
        <f t="shared" si="93"/>
        <v>1016</v>
      </c>
      <c r="K499" s="265">
        <f>J499/$J$633</f>
        <v>0.000494894618587217</v>
      </c>
      <c r="L499" s="293"/>
    </row>
    <row r="500" spans="1:12" s="294" customFormat="1" ht="11.25">
      <c r="A500" s="291" t="s">
        <v>1107</v>
      </c>
      <c r="B500" s="280" t="s">
        <v>559</v>
      </c>
      <c r="C500" s="304"/>
      <c r="D500" s="281" t="s">
        <v>636</v>
      </c>
      <c r="E500" s="412">
        <v>3</v>
      </c>
      <c r="F500" s="299" t="s">
        <v>556</v>
      </c>
      <c r="G500" s="34">
        <v>4.7</v>
      </c>
      <c r="H500" s="34">
        <v>15.62</v>
      </c>
      <c r="I500" s="311">
        <f t="shared" si="91"/>
        <v>20.32</v>
      </c>
      <c r="J500" s="472">
        <f t="shared" si="93"/>
        <v>60.96</v>
      </c>
      <c r="K500" s="265">
        <f>J500/$J$633</f>
        <v>2.969367711523302E-05</v>
      </c>
      <c r="L500" s="293"/>
    </row>
    <row r="501" spans="1:12" s="294" customFormat="1" ht="11.25">
      <c r="A501" s="291" t="s">
        <v>1108</v>
      </c>
      <c r="B501" s="280" t="s">
        <v>559</v>
      </c>
      <c r="C501" s="304"/>
      <c r="D501" s="281" t="s">
        <v>638</v>
      </c>
      <c r="E501" s="412">
        <v>2</v>
      </c>
      <c r="F501" s="299" t="s">
        <v>556</v>
      </c>
      <c r="G501" s="34">
        <v>4.7</v>
      </c>
      <c r="H501" s="34">
        <v>15.62</v>
      </c>
      <c r="I501" s="311">
        <f t="shared" si="91"/>
        <v>20.32</v>
      </c>
      <c r="J501" s="472">
        <f t="shared" si="93"/>
        <v>40.64</v>
      </c>
      <c r="K501" s="265">
        <f>J501/$J$633</f>
        <v>1.979578474348868E-05</v>
      </c>
      <c r="L501" s="293"/>
    </row>
    <row r="502" spans="1:12" s="294" customFormat="1" ht="11.25">
      <c r="A502" s="291" t="s">
        <v>1109</v>
      </c>
      <c r="B502" s="280" t="s">
        <v>559</v>
      </c>
      <c r="C502" s="304"/>
      <c r="D502" s="281" t="s">
        <v>639</v>
      </c>
      <c r="E502" s="412">
        <v>1</v>
      </c>
      <c r="F502" s="299" t="s">
        <v>556</v>
      </c>
      <c r="G502" s="34">
        <v>4.7</v>
      </c>
      <c r="H502" s="34">
        <v>15.62</v>
      </c>
      <c r="I502" s="311">
        <f t="shared" si="91"/>
        <v>20.32</v>
      </c>
      <c r="J502" s="472">
        <f t="shared" si="93"/>
        <v>20.32</v>
      </c>
      <c r="K502" s="265">
        <f>J502/$J$633</f>
        <v>9.89789237174434E-06</v>
      </c>
      <c r="L502" s="293"/>
    </row>
    <row r="503" spans="1:12" s="294" customFormat="1" ht="11.25">
      <c r="A503" s="291"/>
      <c r="B503" s="280"/>
      <c r="C503" s="304"/>
      <c r="D503" s="283" t="s">
        <v>557</v>
      </c>
      <c r="E503" s="411"/>
      <c r="F503" s="290"/>
      <c r="G503" s="295"/>
      <c r="H503" s="295"/>
      <c r="I503" s="311">
        <f t="shared" si="91"/>
        <v>0</v>
      </c>
      <c r="J503" s="296"/>
      <c r="K503" s="265">
        <f>J503/$J$633</f>
        <v>0</v>
      </c>
      <c r="L503" s="293"/>
    </row>
    <row r="504" spans="1:12" s="294" customFormat="1" ht="11.25">
      <c r="A504" s="291" t="s">
        <v>1110</v>
      </c>
      <c r="B504" s="280" t="s">
        <v>599</v>
      </c>
      <c r="C504" s="304">
        <v>72228</v>
      </c>
      <c r="D504" s="281" t="s">
        <v>568</v>
      </c>
      <c r="E504" s="411">
        <v>1</v>
      </c>
      <c r="F504" s="292" t="s">
        <v>540</v>
      </c>
      <c r="G504" s="34">
        <v>2.35</v>
      </c>
      <c r="H504" s="34">
        <v>1108.76</v>
      </c>
      <c r="I504" s="311">
        <f t="shared" si="91"/>
        <v>1111.11</v>
      </c>
      <c r="J504" s="472">
        <f t="shared" si="93"/>
        <v>1111.11</v>
      </c>
      <c r="K504" s="265">
        <f>J504/$J$633</f>
        <v>0.000541222794939412</v>
      </c>
      <c r="L504" s="293"/>
    </row>
    <row r="505" spans="1:12" s="294" customFormat="1" ht="11.25">
      <c r="A505" s="291" t="s">
        <v>1111</v>
      </c>
      <c r="B505" s="280" t="s">
        <v>599</v>
      </c>
      <c r="C505" s="304">
        <v>72227</v>
      </c>
      <c r="D505" s="281" t="s">
        <v>569</v>
      </c>
      <c r="E505" s="411">
        <v>1</v>
      </c>
      <c r="F505" s="292" t="s">
        <v>540</v>
      </c>
      <c r="G505" s="34">
        <v>2.35</v>
      </c>
      <c r="H505" s="34">
        <v>802.85</v>
      </c>
      <c r="I505" s="311">
        <f t="shared" si="91"/>
        <v>805.2</v>
      </c>
      <c r="J505" s="472">
        <f>SUM(I505*E505)</f>
        <v>805.2</v>
      </c>
      <c r="K505" s="265">
        <f>J505/$J$633</f>
        <v>0.0003922137272504204</v>
      </c>
      <c r="L505" s="293"/>
    </row>
    <row r="506" spans="1:12" s="294" customFormat="1" ht="11.25">
      <c r="A506" s="291" t="s">
        <v>1112</v>
      </c>
      <c r="B506" s="280" t="s">
        <v>559</v>
      </c>
      <c r="C506" s="304"/>
      <c r="D506" s="281" t="s">
        <v>570</v>
      </c>
      <c r="E506" s="407">
        <v>6</v>
      </c>
      <c r="F506" s="292" t="s">
        <v>540</v>
      </c>
      <c r="G506" s="34">
        <v>298.11</v>
      </c>
      <c r="H506" s="34">
        <v>1441.56</v>
      </c>
      <c r="I506" s="311">
        <f t="shared" si="91"/>
        <v>1739.67</v>
      </c>
      <c r="J506" s="472">
        <f t="shared" si="93"/>
        <v>10438.02</v>
      </c>
      <c r="K506" s="265">
        <f>J506/$J$633</f>
        <v>0.005084370006600141</v>
      </c>
      <c r="L506" s="293"/>
    </row>
    <row r="507" spans="1:12" s="294" customFormat="1" ht="22.5">
      <c r="A507" s="291" t="s">
        <v>1113</v>
      </c>
      <c r="B507" s="280" t="s">
        <v>560</v>
      </c>
      <c r="C507" s="302">
        <v>71887</v>
      </c>
      <c r="D507" s="281" t="s">
        <v>571</v>
      </c>
      <c r="E507" s="407">
        <v>11</v>
      </c>
      <c r="F507" s="292" t="s">
        <v>540</v>
      </c>
      <c r="G507" s="34">
        <v>42.29</v>
      </c>
      <c r="H507" s="34">
        <v>442.23</v>
      </c>
      <c r="I507" s="311">
        <f t="shared" si="91"/>
        <v>484.52000000000004</v>
      </c>
      <c r="J507" s="472">
        <f t="shared" si="93"/>
        <v>5329.72</v>
      </c>
      <c r="K507" s="265">
        <f>J507/$J$633</f>
        <v>0.0025961119552919904</v>
      </c>
      <c r="L507" s="293"/>
    </row>
    <row r="508" spans="1:12" s="294" customFormat="1" ht="11.25">
      <c r="A508" s="291" t="s">
        <v>1114</v>
      </c>
      <c r="B508" s="280" t="s">
        <v>559</v>
      </c>
      <c r="C508" s="304"/>
      <c r="D508" s="281" t="s">
        <v>572</v>
      </c>
      <c r="E508" s="407">
        <v>3</v>
      </c>
      <c r="F508" s="292" t="s">
        <v>540</v>
      </c>
      <c r="G508" s="34">
        <v>57.1</v>
      </c>
      <c r="H508" s="34">
        <v>276.14</v>
      </c>
      <c r="I508" s="311">
        <f t="shared" si="91"/>
        <v>333.24</v>
      </c>
      <c r="J508" s="472">
        <f t="shared" si="93"/>
        <v>999.72</v>
      </c>
      <c r="K508" s="265">
        <f>J508/$J$633</f>
        <v>0.00048696461426576043</v>
      </c>
      <c r="L508" s="293"/>
    </row>
    <row r="509" spans="1:12" s="294" customFormat="1" ht="11.25">
      <c r="A509" s="291" t="s">
        <v>1115</v>
      </c>
      <c r="B509" s="280" t="s">
        <v>559</v>
      </c>
      <c r="C509" s="304"/>
      <c r="D509" s="281" t="s">
        <v>573</v>
      </c>
      <c r="E509" s="407">
        <v>2</v>
      </c>
      <c r="F509" s="292" t="s">
        <v>540</v>
      </c>
      <c r="G509" s="34">
        <v>57.1</v>
      </c>
      <c r="H509" s="34">
        <v>276.14</v>
      </c>
      <c r="I509" s="311">
        <f t="shared" si="91"/>
        <v>333.24</v>
      </c>
      <c r="J509" s="472">
        <f t="shared" si="93"/>
        <v>666.48</v>
      </c>
      <c r="K509" s="265">
        <f>J509/$J$633</f>
        <v>0.0003246430761771736</v>
      </c>
      <c r="L509" s="293"/>
    </row>
    <row r="510" spans="1:12" s="294" customFormat="1" ht="11.25">
      <c r="A510" s="291" t="s">
        <v>1116</v>
      </c>
      <c r="B510" s="280" t="s">
        <v>559</v>
      </c>
      <c r="C510" s="304"/>
      <c r="D510" s="281" t="s">
        <v>574</v>
      </c>
      <c r="E510" s="407">
        <v>98</v>
      </c>
      <c r="F510" s="292" t="s">
        <v>540</v>
      </c>
      <c r="G510" s="34">
        <v>3.4</v>
      </c>
      <c r="H510" s="34">
        <v>16.46</v>
      </c>
      <c r="I510" s="311">
        <f t="shared" si="91"/>
        <v>19.86</v>
      </c>
      <c r="J510" s="472">
        <f t="shared" si="93"/>
        <v>1946.28</v>
      </c>
      <c r="K510" s="265">
        <f>J510/$J$633</f>
        <v>0.0009480349392361503</v>
      </c>
      <c r="L510" s="293"/>
    </row>
    <row r="511" spans="1:12" s="294" customFormat="1" ht="11.25">
      <c r="A511" s="291" t="s">
        <v>1117</v>
      </c>
      <c r="B511" s="280" t="s">
        <v>559</v>
      </c>
      <c r="C511" s="304"/>
      <c r="D511" s="281" t="s">
        <v>575</v>
      </c>
      <c r="E511" s="407">
        <v>81</v>
      </c>
      <c r="F511" s="292" t="s">
        <v>540</v>
      </c>
      <c r="G511" s="34">
        <v>3.64</v>
      </c>
      <c r="H511" s="34">
        <v>17.61</v>
      </c>
      <c r="I511" s="311">
        <f t="shared" si="91"/>
        <v>21.25</v>
      </c>
      <c r="J511" s="472">
        <f t="shared" si="93"/>
        <v>1721.25</v>
      </c>
      <c r="K511" s="265">
        <f>J511/$J$633</f>
        <v>0.0008384226006331174</v>
      </c>
      <c r="L511" s="293"/>
    </row>
    <row r="512" spans="1:12" s="294" customFormat="1" ht="11.25">
      <c r="A512" s="291" t="s">
        <v>1118</v>
      </c>
      <c r="B512" s="280" t="s">
        <v>559</v>
      </c>
      <c r="C512" s="304"/>
      <c r="D512" s="281" t="s">
        <v>576</v>
      </c>
      <c r="E512" s="411">
        <v>2</v>
      </c>
      <c r="F512" s="292" t="s">
        <v>540</v>
      </c>
      <c r="G512" s="34">
        <v>58.25</v>
      </c>
      <c r="H512" s="34">
        <v>281.66</v>
      </c>
      <c r="I512" s="311">
        <f t="shared" si="91"/>
        <v>339.91</v>
      </c>
      <c r="J512" s="472">
        <f t="shared" si="93"/>
        <v>679.82</v>
      </c>
      <c r="K512" s="265">
        <f>J512/$J$633</f>
        <v>0.0003311410035511436</v>
      </c>
      <c r="L512" s="293"/>
    </row>
    <row r="513" spans="1:12" s="294" customFormat="1" ht="11.25">
      <c r="A513" s="291" t="s">
        <v>1119</v>
      </c>
      <c r="B513" s="280" t="s">
        <v>559</v>
      </c>
      <c r="C513" s="304"/>
      <c r="D513" s="281" t="s">
        <v>577</v>
      </c>
      <c r="E513" s="411">
        <v>2</v>
      </c>
      <c r="F513" s="292" t="s">
        <v>540</v>
      </c>
      <c r="G513" s="34">
        <v>52.95</v>
      </c>
      <c r="H513" s="34">
        <v>256.05</v>
      </c>
      <c r="I513" s="311">
        <f t="shared" si="91"/>
        <v>309</v>
      </c>
      <c r="J513" s="472">
        <f t="shared" si="93"/>
        <v>618</v>
      </c>
      <c r="K513" s="265">
        <f>J513/$J$633</f>
        <v>0.00030102841957372055</v>
      </c>
      <c r="L513" s="293"/>
    </row>
    <row r="514" spans="1:12" s="294" customFormat="1" ht="11.25">
      <c r="A514" s="291" t="s">
        <v>1120</v>
      </c>
      <c r="B514" s="280" t="s">
        <v>559</v>
      </c>
      <c r="C514" s="304"/>
      <c r="D514" s="281" t="s">
        <v>578</v>
      </c>
      <c r="E514" s="411">
        <v>2</v>
      </c>
      <c r="F514" s="292" t="s">
        <v>540</v>
      </c>
      <c r="G514" s="34">
        <v>12.71</v>
      </c>
      <c r="H514" s="34">
        <v>61.45</v>
      </c>
      <c r="I514" s="311">
        <f>G514+H514</f>
        <v>74.16</v>
      </c>
      <c r="J514" s="472">
        <f t="shared" si="93"/>
        <v>148.32</v>
      </c>
      <c r="K514" s="265">
        <f>J514/$J$633</f>
        <v>7.224682069769294E-05</v>
      </c>
      <c r="L514" s="293"/>
    </row>
    <row r="515" spans="1:12" s="294" customFormat="1" ht="11.25">
      <c r="A515" s="291" t="s">
        <v>1121</v>
      </c>
      <c r="B515" s="280" t="s">
        <v>559</v>
      </c>
      <c r="C515" s="304"/>
      <c r="D515" s="281" t="s">
        <v>579</v>
      </c>
      <c r="E515" s="411">
        <v>2</v>
      </c>
      <c r="F515" s="292" t="s">
        <v>540</v>
      </c>
      <c r="G515" s="34">
        <v>13.3</v>
      </c>
      <c r="H515" s="34">
        <v>64.29</v>
      </c>
      <c r="I515" s="311">
        <f t="shared" si="91"/>
        <v>77.59</v>
      </c>
      <c r="J515" s="472">
        <f t="shared" si="93"/>
        <v>155.18</v>
      </c>
      <c r="K515" s="265">
        <f>J515/$J$633</f>
        <v>7.558833357516175E-05</v>
      </c>
      <c r="L515" s="293"/>
    </row>
    <row r="516" spans="1:12" s="294" customFormat="1" ht="11.25">
      <c r="A516" s="291" t="s">
        <v>1122</v>
      </c>
      <c r="B516" s="280" t="s">
        <v>559</v>
      </c>
      <c r="C516" s="304"/>
      <c r="D516" s="281" t="s">
        <v>580</v>
      </c>
      <c r="E516" s="411">
        <v>4</v>
      </c>
      <c r="F516" s="292" t="s">
        <v>540</v>
      </c>
      <c r="G516" s="34">
        <v>72.01</v>
      </c>
      <c r="H516" s="34">
        <v>348.23</v>
      </c>
      <c r="I516" s="311">
        <f t="shared" si="91"/>
        <v>420.24</v>
      </c>
      <c r="J516" s="472">
        <f t="shared" si="93"/>
        <v>1680.96</v>
      </c>
      <c r="K516" s="265">
        <f>J516/$J$633</f>
        <v>0.00081879730124052</v>
      </c>
      <c r="L516" s="293"/>
    </row>
    <row r="517" spans="1:12" s="294" customFormat="1" ht="11.25">
      <c r="A517" s="291" t="s">
        <v>1123</v>
      </c>
      <c r="B517" s="280" t="s">
        <v>559</v>
      </c>
      <c r="C517" s="304"/>
      <c r="D517" s="281" t="s">
        <v>581</v>
      </c>
      <c r="E517" s="411">
        <v>2</v>
      </c>
      <c r="F517" s="292" t="s">
        <v>582</v>
      </c>
      <c r="G517" s="34">
        <v>19.06</v>
      </c>
      <c r="H517" s="34">
        <v>92.18</v>
      </c>
      <c r="I517" s="311">
        <f t="shared" si="91"/>
        <v>111.24000000000001</v>
      </c>
      <c r="J517" s="472">
        <f t="shared" si="93"/>
        <v>222.48000000000002</v>
      </c>
      <c r="K517" s="265">
        <f>J517/$J$633</f>
        <v>0.00010837023104653941</v>
      </c>
      <c r="L517" s="293"/>
    </row>
    <row r="518" spans="1:12" s="294" customFormat="1" ht="11.25">
      <c r="A518" s="291" t="s">
        <v>1124</v>
      </c>
      <c r="B518" s="280" t="s">
        <v>559</v>
      </c>
      <c r="C518" s="304"/>
      <c r="D518" s="281" t="s">
        <v>583</v>
      </c>
      <c r="E518" s="411">
        <v>22</v>
      </c>
      <c r="F518" s="292" t="s">
        <v>540</v>
      </c>
      <c r="G518" s="34">
        <v>3.64</v>
      </c>
      <c r="H518" s="34">
        <v>17.62</v>
      </c>
      <c r="I518" s="311">
        <f t="shared" si="91"/>
        <v>21.26</v>
      </c>
      <c r="J518" s="472">
        <f t="shared" si="93"/>
        <v>467.72</v>
      </c>
      <c r="K518" s="265">
        <f>J518/$J$633</f>
        <v>0.00022782688091103656</v>
      </c>
      <c r="L518" s="293"/>
    </row>
    <row r="519" spans="1:12" s="294" customFormat="1" ht="33.75">
      <c r="A519" s="291" t="s">
        <v>1125</v>
      </c>
      <c r="B519" s="280" t="s">
        <v>559</v>
      </c>
      <c r="C519" s="304"/>
      <c r="D519" s="281" t="s">
        <v>584</v>
      </c>
      <c r="E519" s="411">
        <v>1</v>
      </c>
      <c r="F519" s="292" t="s">
        <v>556</v>
      </c>
      <c r="G519" s="34">
        <v>157.09</v>
      </c>
      <c r="H519" s="34">
        <v>759.62</v>
      </c>
      <c r="I519" s="311">
        <f>G519+H519</f>
        <v>916.71</v>
      </c>
      <c r="J519" s="472">
        <f t="shared" si="93"/>
        <v>916.71</v>
      </c>
      <c r="K519" s="265">
        <f>J519/$J$633</f>
        <v>0.00044653036004437766</v>
      </c>
      <c r="L519" s="293"/>
    </row>
    <row r="520" spans="1:12" s="294" customFormat="1" ht="11.25">
      <c r="A520" s="291" t="s">
        <v>1126</v>
      </c>
      <c r="B520" s="280" t="s">
        <v>559</v>
      </c>
      <c r="C520" s="304"/>
      <c r="D520" s="281" t="s">
        <v>585</v>
      </c>
      <c r="E520" s="411">
        <v>1</v>
      </c>
      <c r="F520" s="292" t="s">
        <v>556</v>
      </c>
      <c r="G520" s="34">
        <v>7.15</v>
      </c>
      <c r="H520" s="34">
        <v>34.57</v>
      </c>
      <c r="I520" s="311">
        <f t="shared" si="91"/>
        <v>41.72</v>
      </c>
      <c r="J520" s="472">
        <f t="shared" si="93"/>
        <v>41.72</v>
      </c>
      <c r="K520" s="265">
        <f>J520/$J$633</f>
        <v>2.0321853826238872E-05</v>
      </c>
      <c r="L520" s="293"/>
    </row>
    <row r="521" spans="1:12" s="294" customFormat="1" ht="11.25">
      <c r="A521" s="291" t="s">
        <v>1127</v>
      </c>
      <c r="B521" s="280" t="s">
        <v>559</v>
      </c>
      <c r="C521" s="304"/>
      <c r="D521" s="281" t="s">
        <v>586</v>
      </c>
      <c r="E521" s="411">
        <v>12</v>
      </c>
      <c r="F521" s="292" t="s">
        <v>556</v>
      </c>
      <c r="G521" s="34">
        <v>4.77</v>
      </c>
      <c r="H521" s="34">
        <v>23.04</v>
      </c>
      <c r="I521" s="311">
        <f aca="true" t="shared" si="94" ref="I521:I533">G521+H521</f>
        <v>27.81</v>
      </c>
      <c r="J521" s="472">
        <f t="shared" si="93"/>
        <v>333.71999999999997</v>
      </c>
      <c r="K521" s="265">
        <f>J521/$J$633</f>
        <v>0.00016255534656980908</v>
      </c>
      <c r="L521" s="293"/>
    </row>
    <row r="522" spans="1:12" s="294" customFormat="1" ht="11.25">
      <c r="A522" s="291" t="s">
        <v>1128</v>
      </c>
      <c r="B522" s="280" t="s">
        <v>559</v>
      </c>
      <c r="C522" s="304"/>
      <c r="D522" s="281" t="s">
        <v>587</v>
      </c>
      <c r="E522" s="411">
        <v>12</v>
      </c>
      <c r="F522" s="292" t="s">
        <v>556</v>
      </c>
      <c r="G522" s="34">
        <v>3.81</v>
      </c>
      <c r="H522" s="34">
        <v>18.44</v>
      </c>
      <c r="I522" s="311">
        <f t="shared" si="94"/>
        <v>22.25</v>
      </c>
      <c r="J522" s="472">
        <f t="shared" si="93"/>
        <v>267</v>
      </c>
      <c r="K522" s="265">
        <f>J522/$J$633</f>
        <v>0.0001300559676799084</v>
      </c>
      <c r="L522" s="293"/>
    </row>
    <row r="523" spans="1:12" s="294" customFormat="1" ht="11.25">
      <c r="A523" s="291" t="s">
        <v>1129</v>
      </c>
      <c r="B523" s="280" t="s">
        <v>559</v>
      </c>
      <c r="C523" s="304"/>
      <c r="D523" s="281" t="s">
        <v>588</v>
      </c>
      <c r="E523" s="411">
        <v>12</v>
      </c>
      <c r="F523" s="292" t="s">
        <v>556</v>
      </c>
      <c r="G523" s="34">
        <v>14.3</v>
      </c>
      <c r="H523" s="34">
        <v>69.13</v>
      </c>
      <c r="I523" s="311">
        <f t="shared" si="94"/>
        <v>83.42999999999999</v>
      </c>
      <c r="J523" s="472">
        <f t="shared" si="93"/>
        <v>1001.1599999999999</v>
      </c>
      <c r="K523" s="265">
        <f>J523/$J$633</f>
        <v>0.00048766603970942725</v>
      </c>
      <c r="L523" s="293"/>
    </row>
    <row r="524" spans="1:12" s="294" customFormat="1" ht="11.25">
      <c r="A524" s="291" t="s">
        <v>1130</v>
      </c>
      <c r="B524" s="280" t="s">
        <v>559</v>
      </c>
      <c r="C524" s="304"/>
      <c r="D524" s="281" t="s">
        <v>589</v>
      </c>
      <c r="E524" s="411">
        <v>12</v>
      </c>
      <c r="F524" s="292" t="s">
        <v>556</v>
      </c>
      <c r="G524" s="34">
        <v>5.96</v>
      </c>
      <c r="H524" s="34">
        <v>28.81</v>
      </c>
      <c r="I524" s="311">
        <f t="shared" si="94"/>
        <v>34.769999999999996</v>
      </c>
      <c r="J524" s="472">
        <f t="shared" si="93"/>
        <v>417.23999999999995</v>
      </c>
      <c r="K524" s="265">
        <f>J524/$J$633</f>
        <v>0.00020323802230249054</v>
      </c>
      <c r="L524" s="293"/>
    </row>
    <row r="525" spans="1:12" s="294" customFormat="1" ht="11.25">
      <c r="A525" s="291" t="s">
        <v>1131</v>
      </c>
      <c r="B525" s="280" t="s">
        <v>559</v>
      </c>
      <c r="C525" s="304"/>
      <c r="D525" s="281" t="s">
        <v>590</v>
      </c>
      <c r="E525" s="411">
        <v>12</v>
      </c>
      <c r="F525" s="292" t="s">
        <v>556</v>
      </c>
      <c r="G525" s="34">
        <v>9.53</v>
      </c>
      <c r="H525" s="34">
        <v>46.09</v>
      </c>
      <c r="I525" s="311">
        <f t="shared" si="94"/>
        <v>55.620000000000005</v>
      </c>
      <c r="J525" s="472">
        <f t="shared" si="93"/>
        <v>667.44</v>
      </c>
      <c r="K525" s="265">
        <f>J525/$J$633</f>
        <v>0.0003251106931396182</v>
      </c>
      <c r="L525" s="293"/>
    </row>
    <row r="526" spans="1:12" s="294" customFormat="1" ht="11.25">
      <c r="A526" s="291" t="s">
        <v>1132</v>
      </c>
      <c r="B526" s="280" t="s">
        <v>559</v>
      </c>
      <c r="C526" s="304"/>
      <c r="D526" s="281" t="s">
        <v>591</v>
      </c>
      <c r="E526" s="411">
        <v>12</v>
      </c>
      <c r="F526" s="292" t="s">
        <v>556</v>
      </c>
      <c r="G526" s="34">
        <v>23.83</v>
      </c>
      <c r="H526" s="34">
        <v>115.22</v>
      </c>
      <c r="I526" s="311">
        <f t="shared" si="94"/>
        <v>139.05</v>
      </c>
      <c r="J526" s="472">
        <f t="shared" si="93"/>
        <v>1668.6000000000001</v>
      </c>
      <c r="K526" s="265">
        <f>J526/$J$633</f>
        <v>0.0008127767328490456</v>
      </c>
      <c r="L526" s="293"/>
    </row>
    <row r="527" spans="1:12" s="294" customFormat="1" ht="11.25">
      <c r="A527" s="291" t="s">
        <v>1133</v>
      </c>
      <c r="B527" s="280" t="s">
        <v>559</v>
      </c>
      <c r="C527" s="304"/>
      <c r="D527" s="281" t="s">
        <v>558</v>
      </c>
      <c r="E527" s="411">
        <v>3</v>
      </c>
      <c r="F527" s="292" t="s">
        <v>556</v>
      </c>
      <c r="G527" s="34">
        <v>35.3</v>
      </c>
      <c r="H527" s="34">
        <v>170.7</v>
      </c>
      <c r="I527" s="311">
        <f t="shared" si="94"/>
        <v>206</v>
      </c>
      <c r="J527" s="472">
        <f t="shared" si="93"/>
        <v>618</v>
      </c>
      <c r="K527" s="265">
        <f>J527/$J$633</f>
        <v>0.00030102841957372055</v>
      </c>
      <c r="L527" s="293"/>
    </row>
    <row r="528" spans="1:12" s="294" customFormat="1" ht="11.25">
      <c r="A528" s="291" t="s">
        <v>1134</v>
      </c>
      <c r="B528" s="280" t="s">
        <v>559</v>
      </c>
      <c r="C528" s="304"/>
      <c r="D528" s="281" t="s">
        <v>592</v>
      </c>
      <c r="E528" s="411">
        <v>10</v>
      </c>
      <c r="F528" s="292" t="s">
        <v>207</v>
      </c>
      <c r="G528" s="34">
        <v>1019.29</v>
      </c>
      <c r="H528" s="34">
        <v>4928.96</v>
      </c>
      <c r="I528" s="311">
        <f t="shared" si="94"/>
        <v>5948.25</v>
      </c>
      <c r="J528" s="472">
        <f t="shared" si="93"/>
        <v>59482.5</v>
      </c>
      <c r="K528" s="265">
        <f>J528/$J$633</f>
        <v>0.028973985383970606</v>
      </c>
      <c r="L528" s="293"/>
    </row>
    <row r="529" spans="1:12" s="294" customFormat="1" ht="11.25">
      <c r="A529" s="291" t="s">
        <v>1135</v>
      </c>
      <c r="B529" s="280" t="s">
        <v>559</v>
      </c>
      <c r="C529" s="304"/>
      <c r="D529" s="280" t="s">
        <v>593</v>
      </c>
      <c r="E529" s="411">
        <v>5</v>
      </c>
      <c r="F529" s="297" t="s">
        <v>540</v>
      </c>
      <c r="G529" s="34">
        <v>4.75</v>
      </c>
      <c r="H529" s="34">
        <v>22.96</v>
      </c>
      <c r="I529" s="311">
        <f t="shared" si="94"/>
        <v>27.71</v>
      </c>
      <c r="J529" s="472">
        <f t="shared" si="93"/>
        <v>138.55</v>
      </c>
      <c r="K529" s="265">
        <f>J529/$J$633</f>
        <v>6.74878439028139E-05</v>
      </c>
      <c r="L529" s="293"/>
    </row>
    <row r="530" spans="1:12" s="294" customFormat="1" ht="11.25">
      <c r="A530" s="291" t="s">
        <v>1136</v>
      </c>
      <c r="B530" s="280" t="s">
        <v>559</v>
      </c>
      <c r="C530" s="304"/>
      <c r="D530" s="280" t="s">
        <v>594</v>
      </c>
      <c r="E530" s="411">
        <v>5</v>
      </c>
      <c r="F530" s="297" t="s">
        <v>540</v>
      </c>
      <c r="G530" s="34">
        <v>1.32</v>
      </c>
      <c r="H530" s="34">
        <v>6.4</v>
      </c>
      <c r="I530" s="311">
        <f t="shared" si="94"/>
        <v>7.720000000000001</v>
      </c>
      <c r="J530" s="472">
        <f t="shared" si="93"/>
        <v>38.6</v>
      </c>
      <c r="K530" s="265">
        <f>J530/$J$633</f>
        <v>1.8802098698293876E-05</v>
      </c>
      <c r="L530" s="293"/>
    </row>
    <row r="531" spans="1:12" s="294" customFormat="1" ht="11.25">
      <c r="A531" s="291" t="s">
        <v>1137</v>
      </c>
      <c r="B531" s="280" t="s">
        <v>559</v>
      </c>
      <c r="C531" s="304"/>
      <c r="D531" s="280" t="s">
        <v>595</v>
      </c>
      <c r="E531" s="411">
        <v>5</v>
      </c>
      <c r="F531" s="297" t="s">
        <v>540</v>
      </c>
      <c r="G531" s="34">
        <v>18.18</v>
      </c>
      <c r="H531" s="34">
        <v>87.91</v>
      </c>
      <c r="I531" s="311">
        <f t="shared" si="94"/>
        <v>106.09</v>
      </c>
      <c r="J531" s="472">
        <f t="shared" si="93"/>
        <v>530.45</v>
      </c>
      <c r="K531" s="265">
        <f>J531/$J$633</f>
        <v>0.0002583827268007768</v>
      </c>
      <c r="L531" s="293"/>
    </row>
    <row r="532" spans="1:12" s="294" customFormat="1" ht="11.25">
      <c r="A532" s="291" t="s">
        <v>1138</v>
      </c>
      <c r="B532" s="280" t="s">
        <v>559</v>
      </c>
      <c r="C532" s="304"/>
      <c r="D532" s="280" t="s">
        <v>596</v>
      </c>
      <c r="E532" s="411">
        <v>10</v>
      </c>
      <c r="F532" s="297" t="s">
        <v>540</v>
      </c>
      <c r="G532" s="34">
        <v>0.79</v>
      </c>
      <c r="H532" s="34">
        <v>3.84</v>
      </c>
      <c r="I532" s="311">
        <f t="shared" si="94"/>
        <v>4.63</v>
      </c>
      <c r="J532" s="472">
        <f t="shared" si="93"/>
        <v>46.3</v>
      </c>
      <c r="K532" s="265">
        <f>J532/$J$633</f>
        <v>2.255277641790172E-05</v>
      </c>
      <c r="L532" s="293"/>
    </row>
    <row r="533" spans="1:12" s="294" customFormat="1" ht="11.25">
      <c r="A533" s="291" t="s">
        <v>1139</v>
      </c>
      <c r="B533" s="280" t="s">
        <v>559</v>
      </c>
      <c r="C533" s="304"/>
      <c r="D533" s="280" t="s">
        <v>597</v>
      </c>
      <c r="E533" s="411">
        <v>10</v>
      </c>
      <c r="F533" s="297" t="s">
        <v>540</v>
      </c>
      <c r="G533" s="34">
        <v>3.88</v>
      </c>
      <c r="H533" s="34">
        <v>18.78</v>
      </c>
      <c r="I533" s="311">
        <f t="shared" si="94"/>
        <v>22.66</v>
      </c>
      <c r="J533" s="472">
        <f t="shared" si="93"/>
        <v>226.6</v>
      </c>
      <c r="K533" s="265">
        <f>J533/$J$633</f>
        <v>0.00011037708717703087</v>
      </c>
      <c r="L533" s="293"/>
    </row>
    <row r="534" spans="1:12" s="462" customFormat="1" ht="11.25">
      <c r="A534" s="457"/>
      <c r="B534" s="228"/>
      <c r="C534" s="129"/>
      <c r="D534" s="458" t="s">
        <v>600</v>
      </c>
      <c r="E534" s="365"/>
      <c r="F534" s="459"/>
      <c r="G534" s="460"/>
      <c r="H534" s="460"/>
      <c r="I534" s="311">
        <f>G534+H534</f>
        <v>0</v>
      </c>
      <c r="J534" s="368">
        <f>SUM(J535:J542)</f>
        <v>7577.9</v>
      </c>
      <c r="K534" s="43">
        <f>J534/$J$633</f>
        <v>0.0036912026871969207</v>
      </c>
      <c r="L534" s="461"/>
    </row>
    <row r="535" spans="1:13" s="294" customFormat="1" ht="11.25">
      <c r="A535" s="291" t="s">
        <v>1140</v>
      </c>
      <c r="B535" s="284" t="s">
        <v>561</v>
      </c>
      <c r="C535" s="303">
        <v>91872</v>
      </c>
      <c r="D535" s="298" t="s">
        <v>555</v>
      </c>
      <c r="E535" s="411">
        <v>237</v>
      </c>
      <c r="F535" s="298" t="s">
        <v>194</v>
      </c>
      <c r="G535" s="110">
        <f>M535*0.15</f>
        <v>1.377</v>
      </c>
      <c r="H535" s="110">
        <f>M535*0.85</f>
        <v>7.803</v>
      </c>
      <c r="I535" s="311">
        <f aca="true" t="shared" si="95" ref="I535:I542">G535+H535</f>
        <v>9.18</v>
      </c>
      <c r="J535" s="472">
        <f>SUM(I535*E535)</f>
        <v>2175.66</v>
      </c>
      <c r="K535" s="265">
        <f>J535/$J$633</f>
        <v>0.0010597661672002603</v>
      </c>
      <c r="L535" s="293"/>
      <c r="M535" s="294">
        <v>9.18</v>
      </c>
    </row>
    <row r="536" spans="1:12" s="294" customFormat="1" ht="22.5">
      <c r="A536" s="291" t="s">
        <v>1141</v>
      </c>
      <c r="B536" s="280" t="s">
        <v>559</v>
      </c>
      <c r="C536" s="304"/>
      <c r="D536" s="281" t="s">
        <v>601</v>
      </c>
      <c r="E536" s="412">
        <v>10</v>
      </c>
      <c r="F536" s="299" t="s">
        <v>556</v>
      </c>
      <c r="G536" s="34">
        <v>7.94</v>
      </c>
      <c r="H536" s="34">
        <v>46.46</v>
      </c>
      <c r="I536" s="311">
        <f t="shared" si="95"/>
        <v>54.4</v>
      </c>
      <c r="J536" s="472">
        <f aca="true" t="shared" si="96" ref="J536:J542">SUM(I536*E536)</f>
        <v>544</v>
      </c>
      <c r="K536" s="265">
        <f>J536/$J$633</f>
        <v>0.00026498294538528154</v>
      </c>
      <c r="L536" s="293"/>
    </row>
    <row r="537" spans="1:12" s="294" customFormat="1" ht="11.25">
      <c r="A537" s="291" t="s">
        <v>1142</v>
      </c>
      <c r="B537" s="280" t="s">
        <v>559</v>
      </c>
      <c r="C537" s="304"/>
      <c r="D537" s="281" t="s">
        <v>602</v>
      </c>
      <c r="E537" s="412">
        <v>1</v>
      </c>
      <c r="F537" s="299" t="s">
        <v>556</v>
      </c>
      <c r="G537" s="34">
        <v>0.85</v>
      </c>
      <c r="H537" s="34">
        <v>2.35</v>
      </c>
      <c r="I537" s="311">
        <f t="shared" si="95"/>
        <v>3.2</v>
      </c>
      <c r="J537" s="472">
        <f t="shared" si="96"/>
        <v>3.2</v>
      </c>
      <c r="K537" s="265">
        <f>J537/$J$633</f>
        <v>1.558723208148715E-06</v>
      </c>
      <c r="L537" s="293"/>
    </row>
    <row r="538" spans="1:12" s="294" customFormat="1" ht="11.25">
      <c r="A538" s="291" t="s">
        <v>1143</v>
      </c>
      <c r="B538" s="280" t="s">
        <v>559</v>
      </c>
      <c r="C538" s="304"/>
      <c r="D538" s="281" t="s">
        <v>603</v>
      </c>
      <c r="E538" s="412">
        <v>1</v>
      </c>
      <c r="F538" s="299" t="s">
        <v>556</v>
      </c>
      <c r="G538" s="34">
        <v>0.85</v>
      </c>
      <c r="H538" s="34">
        <v>2.35</v>
      </c>
      <c r="I538" s="311">
        <f t="shared" si="95"/>
        <v>3.2</v>
      </c>
      <c r="J538" s="472">
        <f t="shared" si="96"/>
        <v>3.2</v>
      </c>
      <c r="K538" s="265">
        <f>J538/$J$633</f>
        <v>1.558723208148715E-06</v>
      </c>
      <c r="L538" s="293"/>
    </row>
    <row r="539" spans="1:12" s="294" customFormat="1" ht="11.25">
      <c r="A539" s="291" t="s">
        <v>1144</v>
      </c>
      <c r="B539" s="280" t="s">
        <v>559</v>
      </c>
      <c r="C539" s="304"/>
      <c r="D539" s="281" t="s">
        <v>604</v>
      </c>
      <c r="E539" s="412">
        <v>50</v>
      </c>
      <c r="F539" s="299" t="s">
        <v>556</v>
      </c>
      <c r="G539" s="34">
        <v>0.85</v>
      </c>
      <c r="H539" s="34">
        <v>4.47</v>
      </c>
      <c r="I539" s="311">
        <f t="shared" si="95"/>
        <v>5.319999999999999</v>
      </c>
      <c r="J539" s="472">
        <f t="shared" si="96"/>
        <v>265.99999999999994</v>
      </c>
      <c r="K539" s="265">
        <f>J539/$J$633</f>
        <v>0.0001295688666773619</v>
      </c>
      <c r="L539" s="293"/>
    </row>
    <row r="540" spans="1:12" s="294" customFormat="1" ht="11.25">
      <c r="A540" s="291" t="s">
        <v>1145</v>
      </c>
      <c r="B540" s="280" t="s">
        <v>559</v>
      </c>
      <c r="C540" s="304"/>
      <c r="D540" s="281" t="s">
        <v>634</v>
      </c>
      <c r="E540" s="412">
        <v>44</v>
      </c>
      <c r="F540" s="299" t="s">
        <v>556</v>
      </c>
      <c r="G540" s="34">
        <v>23.85</v>
      </c>
      <c r="H540" s="34">
        <v>79.45</v>
      </c>
      <c r="I540" s="311">
        <f t="shared" si="95"/>
        <v>103.30000000000001</v>
      </c>
      <c r="J540" s="472">
        <f t="shared" si="96"/>
        <v>4545.200000000001</v>
      </c>
      <c r="K540" s="265">
        <f>J540/$J$633</f>
        <v>0.0022139714767742315</v>
      </c>
      <c r="L540" s="293"/>
    </row>
    <row r="541" spans="1:12" s="294" customFormat="1" ht="11.25">
      <c r="A541" s="291" t="s">
        <v>1146</v>
      </c>
      <c r="B541" s="280" t="s">
        <v>559</v>
      </c>
      <c r="C541" s="304"/>
      <c r="D541" s="281" t="s">
        <v>636</v>
      </c>
      <c r="E541" s="412">
        <v>1</v>
      </c>
      <c r="F541" s="299" t="s">
        <v>556</v>
      </c>
      <c r="G541" s="34">
        <v>4.7</v>
      </c>
      <c r="H541" s="34">
        <v>15.62</v>
      </c>
      <c r="I541" s="311">
        <f t="shared" si="95"/>
        <v>20.32</v>
      </c>
      <c r="J541" s="472">
        <f t="shared" si="96"/>
        <v>20.32</v>
      </c>
      <c r="K541" s="265">
        <f>J541/$J$633</f>
        <v>9.89789237174434E-06</v>
      </c>
      <c r="L541" s="293"/>
    </row>
    <row r="542" spans="1:12" s="294" customFormat="1" ht="11.25">
      <c r="A542" s="291" t="s">
        <v>1147</v>
      </c>
      <c r="B542" s="280" t="s">
        <v>559</v>
      </c>
      <c r="C542" s="304"/>
      <c r="D542" s="281" t="s">
        <v>637</v>
      </c>
      <c r="E542" s="412">
        <v>1</v>
      </c>
      <c r="F542" s="299" t="s">
        <v>556</v>
      </c>
      <c r="G542" s="34">
        <v>4.7</v>
      </c>
      <c r="H542" s="34">
        <v>15.62</v>
      </c>
      <c r="I542" s="311">
        <f t="shared" si="95"/>
        <v>20.32</v>
      </c>
      <c r="J542" s="472">
        <f t="shared" si="96"/>
        <v>20.32</v>
      </c>
      <c r="K542" s="265">
        <f>J542/$J$633</f>
        <v>9.89789237174434E-06</v>
      </c>
      <c r="L542" s="293"/>
    </row>
    <row r="543" spans="1:12" s="294" customFormat="1" ht="11.25">
      <c r="A543" s="291" t="s">
        <v>1148</v>
      </c>
      <c r="B543" s="282" t="s">
        <v>559</v>
      </c>
      <c r="C543" s="304"/>
      <c r="D543" s="281" t="s">
        <v>606</v>
      </c>
      <c r="E543" s="411">
        <v>1</v>
      </c>
      <c r="F543" s="292" t="s">
        <v>540</v>
      </c>
      <c r="G543" s="34">
        <v>25.29</v>
      </c>
      <c r="H543" s="34">
        <v>143.34</v>
      </c>
      <c r="I543" s="311">
        <f aca="true" t="shared" si="97" ref="I543:I548">G543+H543</f>
        <v>168.63</v>
      </c>
      <c r="J543" s="472">
        <f>SUM(I543*E543)</f>
        <v>168.63</v>
      </c>
      <c r="K543" s="265">
        <f>J543/$J$633</f>
        <v>8.213984205941182E-05</v>
      </c>
      <c r="L543" s="293"/>
    </row>
    <row r="544" spans="1:13" s="294" customFormat="1" ht="22.5">
      <c r="A544" s="291" t="s">
        <v>1149</v>
      </c>
      <c r="B544" s="284" t="s">
        <v>561</v>
      </c>
      <c r="C544" s="302">
        <v>83369</v>
      </c>
      <c r="D544" s="281" t="s">
        <v>564</v>
      </c>
      <c r="E544" s="411">
        <v>1</v>
      </c>
      <c r="F544" s="292" t="s">
        <v>540</v>
      </c>
      <c r="G544" s="110">
        <f>M544*0.15</f>
        <v>26.833499999999997</v>
      </c>
      <c r="H544" s="110">
        <f>M544*0.85</f>
        <v>152.05649999999997</v>
      </c>
      <c r="I544" s="311">
        <f t="shared" si="97"/>
        <v>178.88999999999996</v>
      </c>
      <c r="J544" s="472">
        <f>SUM(I544*E544)</f>
        <v>178.88999999999996</v>
      </c>
      <c r="K544" s="265">
        <f>J544/$J$633</f>
        <v>8.713749834553861E-05</v>
      </c>
      <c r="L544" s="293"/>
      <c r="M544" s="294">
        <v>178.89</v>
      </c>
    </row>
    <row r="545" spans="1:12" s="294" customFormat="1" ht="22.5">
      <c r="A545" s="291" t="s">
        <v>1150</v>
      </c>
      <c r="B545" s="282" t="s">
        <v>559</v>
      </c>
      <c r="C545" s="304"/>
      <c r="D545" s="281" t="s">
        <v>607</v>
      </c>
      <c r="E545" s="411">
        <v>1</v>
      </c>
      <c r="F545" s="292" t="s">
        <v>540</v>
      </c>
      <c r="G545" s="34">
        <v>450</v>
      </c>
      <c r="H545" s="34">
        <v>2550</v>
      </c>
      <c r="I545" s="311">
        <f t="shared" si="97"/>
        <v>3000</v>
      </c>
      <c r="J545" s="472">
        <f aca="true" t="shared" si="98" ref="J545:J557">SUM(I545*E545)</f>
        <v>3000</v>
      </c>
      <c r="K545" s="265">
        <f>J545/$J$633</f>
        <v>0.0014613030076394203</v>
      </c>
      <c r="L545" s="293"/>
    </row>
    <row r="546" spans="1:12" s="294" customFormat="1" ht="22.5">
      <c r="A546" s="291" t="s">
        <v>1151</v>
      </c>
      <c r="B546" s="280" t="s">
        <v>559</v>
      </c>
      <c r="C546" s="304"/>
      <c r="D546" s="281" t="s">
        <v>565</v>
      </c>
      <c r="E546" s="411">
        <v>12</v>
      </c>
      <c r="F546" s="292" t="s">
        <v>540</v>
      </c>
      <c r="G546" s="34">
        <v>3.42</v>
      </c>
      <c r="H546" s="34">
        <v>16.53</v>
      </c>
      <c r="I546" s="311">
        <f t="shared" si="97"/>
        <v>19.950000000000003</v>
      </c>
      <c r="J546" s="472">
        <f t="shared" si="98"/>
        <v>239.40000000000003</v>
      </c>
      <c r="K546" s="265">
        <f>J546/$J$633</f>
        <v>0.00011661198000962575</v>
      </c>
      <c r="L546" s="293"/>
    </row>
    <row r="547" spans="1:12" s="294" customFormat="1" ht="22.5">
      <c r="A547" s="291" t="s">
        <v>1152</v>
      </c>
      <c r="B547" s="280" t="s">
        <v>560</v>
      </c>
      <c r="C547" s="302">
        <v>70283</v>
      </c>
      <c r="D547" s="281" t="s">
        <v>566</v>
      </c>
      <c r="E547" s="411">
        <v>70</v>
      </c>
      <c r="F547" s="292" t="s">
        <v>540</v>
      </c>
      <c r="G547" s="34">
        <v>14.1</v>
      </c>
      <c r="H547" s="34">
        <v>6.41</v>
      </c>
      <c r="I547" s="311">
        <f t="shared" si="97"/>
        <v>20.509999999999998</v>
      </c>
      <c r="J547" s="472">
        <f t="shared" si="98"/>
        <v>1435.6999999999998</v>
      </c>
      <c r="K547" s="265">
        <f>J547/$J$633</f>
        <v>0.0006993309093559718</v>
      </c>
      <c r="L547" s="293"/>
    </row>
    <row r="548" spans="1:12" s="294" customFormat="1" ht="11.25">
      <c r="A548" s="291" t="s">
        <v>1153</v>
      </c>
      <c r="B548" s="280" t="s">
        <v>598</v>
      </c>
      <c r="C548" s="304"/>
      <c r="D548" s="281" t="s">
        <v>567</v>
      </c>
      <c r="E548" s="411">
        <v>50</v>
      </c>
      <c r="F548" s="292" t="s">
        <v>540</v>
      </c>
      <c r="G548" s="34">
        <v>5.51</v>
      </c>
      <c r="H548" s="34">
        <v>26.63</v>
      </c>
      <c r="I548" s="311">
        <f t="shared" si="97"/>
        <v>32.14</v>
      </c>
      <c r="J548" s="472">
        <f t="shared" si="98"/>
        <v>1607</v>
      </c>
      <c r="K548" s="265">
        <f>J548/$J$633</f>
        <v>0.0007827713110921828</v>
      </c>
      <c r="L548" s="293"/>
    </row>
    <row r="549" spans="1:12" s="294" customFormat="1" ht="11.25">
      <c r="A549" s="291"/>
      <c r="B549" s="280"/>
      <c r="C549" s="304"/>
      <c r="D549" s="283" t="s">
        <v>554</v>
      </c>
      <c r="E549" s="411"/>
      <c r="F549" s="290"/>
      <c r="G549" s="34"/>
      <c r="H549" s="34"/>
      <c r="I549" s="311">
        <f>G549+H549</f>
        <v>0</v>
      </c>
      <c r="J549" s="472"/>
      <c r="K549" s="265">
        <f>J549/$J$633</f>
        <v>0</v>
      </c>
      <c r="L549" s="293"/>
    </row>
    <row r="550" spans="1:13" s="294" customFormat="1" ht="11.25">
      <c r="A550" s="291" t="s">
        <v>1154</v>
      </c>
      <c r="B550" s="284" t="s">
        <v>561</v>
      </c>
      <c r="C550" s="303">
        <v>91872</v>
      </c>
      <c r="D550" s="298" t="s">
        <v>555</v>
      </c>
      <c r="E550" s="411">
        <v>237</v>
      </c>
      <c r="F550" s="298" t="s">
        <v>194</v>
      </c>
      <c r="G550" s="110">
        <f>M550*0.15</f>
        <v>1.377</v>
      </c>
      <c r="H550" s="110">
        <f>M550*0.85</f>
        <v>7.803</v>
      </c>
      <c r="I550" s="311">
        <f aca="true" t="shared" si="99" ref="I550:I581">G550+H550</f>
        <v>9.18</v>
      </c>
      <c r="J550" s="472">
        <f>SUM(I550*E550)</f>
        <v>2175.66</v>
      </c>
      <c r="K550" s="265">
        <f>J550/$J$633</f>
        <v>0.0010597661672002603</v>
      </c>
      <c r="L550" s="293"/>
      <c r="M550" s="294">
        <v>9.18</v>
      </c>
    </row>
    <row r="551" spans="1:12" s="294" customFormat="1" ht="22.5">
      <c r="A551" s="291" t="s">
        <v>1155</v>
      </c>
      <c r="B551" s="280" t="s">
        <v>559</v>
      </c>
      <c r="C551" s="304"/>
      <c r="D551" s="281" t="s">
        <v>601</v>
      </c>
      <c r="E551" s="412">
        <v>10</v>
      </c>
      <c r="F551" s="299" t="s">
        <v>556</v>
      </c>
      <c r="G551" s="34">
        <v>7.94</v>
      </c>
      <c r="H551" s="34">
        <v>46.46</v>
      </c>
      <c r="I551" s="311">
        <f t="shared" si="99"/>
        <v>54.4</v>
      </c>
      <c r="J551" s="472">
        <f t="shared" si="98"/>
        <v>544</v>
      </c>
      <c r="K551" s="265">
        <f>J551/$J$633</f>
        <v>0.00026498294538528154</v>
      </c>
      <c r="L551" s="293"/>
    </row>
    <row r="552" spans="1:12" s="294" customFormat="1" ht="11.25">
      <c r="A552" s="291" t="s">
        <v>1156</v>
      </c>
      <c r="B552" s="280" t="s">
        <v>559</v>
      </c>
      <c r="C552" s="304"/>
      <c r="D552" s="281" t="s">
        <v>602</v>
      </c>
      <c r="E552" s="412">
        <v>1</v>
      </c>
      <c r="F552" s="299" t="s">
        <v>556</v>
      </c>
      <c r="G552" s="34">
        <v>0.85</v>
      </c>
      <c r="H552" s="34">
        <v>2.35</v>
      </c>
      <c r="I552" s="311">
        <f t="shared" si="99"/>
        <v>3.2</v>
      </c>
      <c r="J552" s="472">
        <f>SUM(I552*E552)</f>
        <v>3.2</v>
      </c>
      <c r="K552" s="265">
        <f>J552/$J$633</f>
        <v>1.558723208148715E-06</v>
      </c>
      <c r="L552" s="293"/>
    </row>
    <row r="553" spans="1:12" s="294" customFormat="1" ht="11.25">
      <c r="A553" s="291" t="s">
        <v>1157</v>
      </c>
      <c r="B553" s="280" t="s">
        <v>559</v>
      </c>
      <c r="C553" s="304"/>
      <c r="D553" s="281" t="s">
        <v>603</v>
      </c>
      <c r="E553" s="412">
        <v>1</v>
      </c>
      <c r="F553" s="299" t="s">
        <v>556</v>
      </c>
      <c r="G553" s="34">
        <v>0.85</v>
      </c>
      <c r="H553" s="34">
        <v>2.35</v>
      </c>
      <c r="I553" s="311">
        <f t="shared" si="99"/>
        <v>3.2</v>
      </c>
      <c r="J553" s="472">
        <f t="shared" si="98"/>
        <v>3.2</v>
      </c>
      <c r="K553" s="265">
        <f>J553/$J$633</f>
        <v>1.558723208148715E-06</v>
      </c>
      <c r="L553" s="293"/>
    </row>
    <row r="554" spans="1:12" s="294" customFormat="1" ht="11.25">
      <c r="A554" s="291" t="s">
        <v>1158</v>
      </c>
      <c r="B554" s="280" t="s">
        <v>559</v>
      </c>
      <c r="C554" s="304"/>
      <c r="D554" s="281" t="s">
        <v>604</v>
      </c>
      <c r="E554" s="412">
        <v>5</v>
      </c>
      <c r="F554" s="299" t="s">
        <v>556</v>
      </c>
      <c r="G554" s="34">
        <v>0.85</v>
      </c>
      <c r="H554" s="34">
        <v>4.47</v>
      </c>
      <c r="I554" s="311">
        <f t="shared" si="99"/>
        <v>5.319999999999999</v>
      </c>
      <c r="J554" s="472">
        <f>SUM(I554*E554)</f>
        <v>26.599999999999998</v>
      </c>
      <c r="K554" s="265">
        <f>J554/$J$633</f>
        <v>1.2956886667736192E-05</v>
      </c>
      <c r="L554" s="293"/>
    </row>
    <row r="555" spans="1:12" s="294" customFormat="1" ht="11.25">
      <c r="A555" s="291" t="s">
        <v>1159</v>
      </c>
      <c r="B555" s="280" t="s">
        <v>559</v>
      </c>
      <c r="C555" s="304"/>
      <c r="D555" s="281" t="s">
        <v>634</v>
      </c>
      <c r="E555" s="412">
        <v>44</v>
      </c>
      <c r="F555" s="299" t="s">
        <v>556</v>
      </c>
      <c r="G555" s="34">
        <v>23.85</v>
      </c>
      <c r="H555" s="34">
        <v>79.45</v>
      </c>
      <c r="I555" s="311">
        <f t="shared" si="99"/>
        <v>103.30000000000001</v>
      </c>
      <c r="J555" s="472">
        <f t="shared" si="98"/>
        <v>4545.200000000001</v>
      </c>
      <c r="K555" s="265">
        <f>J555/$J$633</f>
        <v>0.0022139714767742315</v>
      </c>
      <c r="L555" s="293"/>
    </row>
    <row r="556" spans="1:12" s="294" customFormat="1" ht="11.25">
      <c r="A556" s="291" t="s">
        <v>1160</v>
      </c>
      <c r="B556" s="280" t="s">
        <v>559</v>
      </c>
      <c r="C556" s="304"/>
      <c r="D556" s="281" t="s">
        <v>636</v>
      </c>
      <c r="E556" s="412">
        <v>1</v>
      </c>
      <c r="F556" s="299" t="s">
        <v>556</v>
      </c>
      <c r="G556" s="34">
        <v>4.7</v>
      </c>
      <c r="H556" s="34">
        <v>15.62</v>
      </c>
      <c r="I556" s="311">
        <f t="shared" si="99"/>
        <v>20.32</v>
      </c>
      <c r="J556" s="472">
        <f>SUM(I556*E556)</f>
        <v>20.32</v>
      </c>
      <c r="K556" s="265">
        <f>J556/$J$633</f>
        <v>9.89789237174434E-06</v>
      </c>
      <c r="L556" s="293"/>
    </row>
    <row r="557" spans="1:12" s="294" customFormat="1" ht="11.25">
      <c r="A557" s="291" t="s">
        <v>1161</v>
      </c>
      <c r="B557" s="280" t="s">
        <v>559</v>
      </c>
      <c r="C557" s="304"/>
      <c r="D557" s="281" t="s">
        <v>640</v>
      </c>
      <c r="E557" s="412">
        <v>1</v>
      </c>
      <c r="F557" s="299" t="s">
        <v>556</v>
      </c>
      <c r="G557" s="34">
        <v>4.7</v>
      </c>
      <c r="H557" s="34">
        <v>17.6</v>
      </c>
      <c r="I557" s="311">
        <f t="shared" si="99"/>
        <v>22.3</v>
      </c>
      <c r="J557" s="472">
        <f t="shared" si="98"/>
        <v>22.3</v>
      </c>
      <c r="K557" s="265">
        <f>J557/$J$633</f>
        <v>1.0862352356786357E-05</v>
      </c>
      <c r="L557" s="293"/>
    </row>
    <row r="558" spans="1:12" s="467" customFormat="1" ht="11.25">
      <c r="A558" s="458"/>
      <c r="B558" s="463"/>
      <c r="C558" s="464"/>
      <c r="D558" s="463" t="s">
        <v>608</v>
      </c>
      <c r="E558" s="402"/>
      <c r="F558" s="465"/>
      <c r="G558" s="466"/>
      <c r="H558" s="466"/>
      <c r="I558" s="311">
        <f t="shared" si="99"/>
        <v>0</v>
      </c>
      <c r="J558" s="368">
        <f>SUM(J559:J572)</f>
        <v>53939.33792</v>
      </c>
      <c r="K558" s="43">
        <f>J558/$J$633</f>
        <v>0.02627390557752501</v>
      </c>
      <c r="L558" s="461"/>
    </row>
    <row r="559" spans="1:13" s="294" customFormat="1" ht="11.25">
      <c r="A559" s="291" t="s">
        <v>1162</v>
      </c>
      <c r="B559" s="286" t="s">
        <v>30</v>
      </c>
      <c r="C559" s="305" t="s">
        <v>622</v>
      </c>
      <c r="D559" s="285" t="s">
        <v>609</v>
      </c>
      <c r="E559" s="366">
        <v>234</v>
      </c>
      <c r="F559" s="300" t="s">
        <v>194</v>
      </c>
      <c r="G559" s="110">
        <f>M559*0.15</f>
        <v>2.9055</v>
      </c>
      <c r="H559" s="110">
        <f>M559*0.85</f>
        <v>16.4645</v>
      </c>
      <c r="I559" s="311">
        <f t="shared" si="99"/>
        <v>19.37</v>
      </c>
      <c r="J559" s="472">
        <f>SUM(I559*E559)</f>
        <v>4532.58</v>
      </c>
      <c r="K559" s="265">
        <f>J559/$J$633</f>
        <v>0.0022078242621220946</v>
      </c>
      <c r="L559" s="293"/>
      <c r="M559" s="294">
        <v>19.37</v>
      </c>
    </row>
    <row r="560" spans="1:13" s="294" customFormat="1" ht="11.25">
      <c r="A560" s="291" t="s">
        <v>1163</v>
      </c>
      <c r="B560" s="286" t="s">
        <v>30</v>
      </c>
      <c r="C560" s="305" t="s">
        <v>623</v>
      </c>
      <c r="D560" s="285" t="s">
        <v>610</v>
      </c>
      <c r="E560" s="366">
        <v>185</v>
      </c>
      <c r="F560" s="300" t="s">
        <v>194</v>
      </c>
      <c r="G560" s="110">
        <f>M560*0.15</f>
        <v>1.1204999999999998</v>
      </c>
      <c r="H560" s="110">
        <f>M560*0.85</f>
        <v>6.3495</v>
      </c>
      <c r="I560" s="311">
        <f t="shared" si="99"/>
        <v>7.47</v>
      </c>
      <c r="J560" s="472">
        <f>SUM(I560*E560)</f>
        <v>1381.95</v>
      </c>
      <c r="K560" s="265">
        <f>J560/$J$633</f>
        <v>0.0006731492304690989</v>
      </c>
      <c r="L560" s="293"/>
      <c r="M560" s="294">
        <v>7.47</v>
      </c>
    </row>
    <row r="561" spans="1:13" s="294" customFormat="1" ht="11.25">
      <c r="A561" s="291" t="s">
        <v>1164</v>
      </c>
      <c r="B561" s="286" t="s">
        <v>30</v>
      </c>
      <c r="C561" s="305" t="s">
        <v>624</v>
      </c>
      <c r="D561" s="285" t="s">
        <v>611</v>
      </c>
      <c r="E561" s="366">
        <v>270</v>
      </c>
      <c r="F561" s="300" t="s">
        <v>194</v>
      </c>
      <c r="G561" s="110">
        <f>M561*0.15</f>
        <v>5.7749999999999995</v>
      </c>
      <c r="H561" s="110">
        <f>M561*0.85</f>
        <v>32.725</v>
      </c>
      <c r="I561" s="311">
        <f t="shared" si="99"/>
        <v>38.5</v>
      </c>
      <c r="J561" s="472">
        <f>SUM(I561*E561)</f>
        <v>10395</v>
      </c>
      <c r="K561" s="265">
        <f>J561/$J$633</f>
        <v>0.005063414921470591</v>
      </c>
      <c r="L561" s="293"/>
      <c r="M561" s="294">
        <v>38.5</v>
      </c>
    </row>
    <row r="562" spans="1:13" s="294" customFormat="1" ht="11.25">
      <c r="A562" s="291" t="s">
        <v>1165</v>
      </c>
      <c r="B562" s="286" t="s">
        <v>30</v>
      </c>
      <c r="C562" s="305" t="s">
        <v>625</v>
      </c>
      <c r="D562" s="285" t="s">
        <v>612</v>
      </c>
      <c r="E562" s="366">
        <v>50</v>
      </c>
      <c r="F562" s="300" t="s">
        <v>194</v>
      </c>
      <c r="G562" s="110">
        <f>M562*0.15</f>
        <v>1.7985</v>
      </c>
      <c r="H562" s="110">
        <f>M562*0.85</f>
        <v>10.1915</v>
      </c>
      <c r="I562" s="311">
        <f t="shared" si="99"/>
        <v>11.99</v>
      </c>
      <c r="J562" s="472">
        <f>SUM(I562*E562)</f>
        <v>599.5</v>
      </c>
      <c r="K562" s="265">
        <f>J562/$J$633</f>
        <v>0.0002920170510266108</v>
      </c>
      <c r="L562" s="293"/>
      <c r="M562" s="294">
        <v>11.99</v>
      </c>
    </row>
    <row r="563" spans="1:13" s="294" customFormat="1" ht="11.25">
      <c r="A563" s="291" t="s">
        <v>1166</v>
      </c>
      <c r="B563" s="286" t="s">
        <v>30</v>
      </c>
      <c r="C563" s="305" t="s">
        <v>626</v>
      </c>
      <c r="D563" s="285" t="s">
        <v>613</v>
      </c>
      <c r="E563" s="366">
        <v>50</v>
      </c>
      <c r="F563" s="300" t="s">
        <v>194</v>
      </c>
      <c r="G563" s="110">
        <f>M563*0.15</f>
        <v>0.813</v>
      </c>
      <c r="H563" s="110">
        <f>M563*0.85</f>
        <v>4.607</v>
      </c>
      <c r="I563" s="311">
        <f t="shared" si="99"/>
        <v>5.42</v>
      </c>
      <c r="J563" s="472">
        <f>SUM(I563*E563)</f>
        <v>271</v>
      </c>
      <c r="K563" s="265">
        <f>J563/$J$633</f>
        <v>0.0001320043716900943</v>
      </c>
      <c r="L563" s="293"/>
      <c r="M563" s="294">
        <v>5.42</v>
      </c>
    </row>
    <row r="564" spans="1:12" s="294" customFormat="1" ht="11.25">
      <c r="A564" s="291" t="s">
        <v>1167</v>
      </c>
      <c r="B564" s="286" t="s">
        <v>46</v>
      </c>
      <c r="C564" s="305"/>
      <c r="D564" s="285" t="s">
        <v>614</v>
      </c>
      <c r="E564" s="366">
        <v>1320</v>
      </c>
      <c r="F564" s="300" t="s">
        <v>194</v>
      </c>
      <c r="G564" s="34">
        <v>2.5</v>
      </c>
      <c r="H564" s="34">
        <v>10</v>
      </c>
      <c r="I564" s="311">
        <f t="shared" si="99"/>
        <v>12.5</v>
      </c>
      <c r="J564" s="472">
        <v>16500</v>
      </c>
      <c r="K564" s="265">
        <f>J564/$J$633</f>
        <v>0.008037166542016812</v>
      </c>
      <c r="L564" s="293"/>
    </row>
    <row r="565" spans="1:13" s="294" customFormat="1" ht="22.5">
      <c r="A565" s="291" t="s">
        <v>1168</v>
      </c>
      <c r="B565" s="286" t="s">
        <v>30</v>
      </c>
      <c r="C565" s="305" t="s">
        <v>627</v>
      </c>
      <c r="D565" s="285" t="s">
        <v>615</v>
      </c>
      <c r="E565" s="366">
        <v>11</v>
      </c>
      <c r="F565" s="300" t="s">
        <v>556</v>
      </c>
      <c r="G565" s="110">
        <f>M565*0.15</f>
        <v>46.8765</v>
      </c>
      <c r="H565" s="110">
        <f>M565*0.85</f>
        <v>265.63349999999997</v>
      </c>
      <c r="I565" s="311">
        <f t="shared" si="99"/>
        <v>312.51</v>
      </c>
      <c r="J565" s="472">
        <f>SUM(I565*E565)</f>
        <v>3437.6099999999997</v>
      </c>
      <c r="K565" s="265">
        <f>J565/$J$633</f>
        <v>0.0016744632773637823</v>
      </c>
      <c r="L565" s="293"/>
      <c r="M565" s="294">
        <v>312.51</v>
      </c>
    </row>
    <row r="566" spans="1:13" s="294" customFormat="1" ht="11.25">
      <c r="A566" s="291" t="s">
        <v>1169</v>
      </c>
      <c r="B566" s="385" t="s">
        <v>30</v>
      </c>
      <c r="C566" s="305" t="s">
        <v>628</v>
      </c>
      <c r="D566" s="33" t="s">
        <v>616</v>
      </c>
      <c r="E566" s="366">
        <f>200*(0.6*1.2)</f>
        <v>144</v>
      </c>
      <c r="F566" s="297" t="s">
        <v>617</v>
      </c>
      <c r="G566" s="110">
        <f>M566*0.15</f>
        <v>2.4359999999999995</v>
      </c>
      <c r="H566" s="110">
        <f>M566*0.85</f>
        <v>13.803999999999998</v>
      </c>
      <c r="I566" s="311">
        <f t="shared" si="99"/>
        <v>16.24</v>
      </c>
      <c r="J566" s="472">
        <f>SUM(I566*E566)</f>
        <v>2338.56</v>
      </c>
      <c r="K566" s="265">
        <f>J566/$J$633</f>
        <v>0.001139114920515081</v>
      </c>
      <c r="L566" s="293"/>
      <c r="M566" s="294">
        <v>16.24</v>
      </c>
    </row>
    <row r="567" spans="1:13" s="294" customFormat="1" ht="11.25">
      <c r="A567" s="291" t="s">
        <v>1170</v>
      </c>
      <c r="B567" s="385" t="s">
        <v>30</v>
      </c>
      <c r="C567" s="305" t="s">
        <v>628</v>
      </c>
      <c r="D567" s="33" t="s">
        <v>618</v>
      </c>
      <c r="E567" s="366">
        <v>2</v>
      </c>
      <c r="F567" s="297" t="s">
        <v>617</v>
      </c>
      <c r="G567" s="110">
        <f>M567*0.15</f>
        <v>2.4359999999999995</v>
      </c>
      <c r="H567" s="110">
        <f>M567*0.85</f>
        <v>13.803999999999998</v>
      </c>
      <c r="I567" s="311">
        <f t="shared" si="99"/>
        <v>16.24</v>
      </c>
      <c r="J567" s="472">
        <f>SUM(I567*E567)</f>
        <v>32.48</v>
      </c>
      <c r="K567" s="265">
        <f>J567/$J$633</f>
        <v>1.5821040562709455E-05</v>
      </c>
      <c r="L567" s="293"/>
      <c r="M567" s="294">
        <v>16.24</v>
      </c>
    </row>
    <row r="568" spans="1:13" s="294" customFormat="1" ht="11.25">
      <c r="A568" s="291" t="s">
        <v>1171</v>
      </c>
      <c r="B568" s="385" t="s">
        <v>30</v>
      </c>
      <c r="C568" s="305" t="s">
        <v>1202</v>
      </c>
      <c r="D568" s="364" t="s">
        <v>1203</v>
      </c>
      <c r="E568" s="366">
        <f>SUM(E566:E567)*1.2</f>
        <v>175.2</v>
      </c>
      <c r="F568" s="297" t="s">
        <v>617</v>
      </c>
      <c r="G568" s="110">
        <f>M568*0.15</f>
        <v>5.6235</v>
      </c>
      <c r="H568" s="110">
        <f>M568*0.85</f>
        <v>31.866500000000002</v>
      </c>
      <c r="I568" s="311">
        <f t="shared" si="99"/>
        <v>37.49</v>
      </c>
      <c r="J568" s="472">
        <f>SUM(I568*E568)</f>
        <v>6568.248</v>
      </c>
      <c r="K568" s="265">
        <f>J568/$J$633</f>
        <v>0.0031994001857738688</v>
      </c>
      <c r="L568" s="293"/>
      <c r="M568" s="294">
        <v>37.49</v>
      </c>
    </row>
    <row r="569" spans="1:12" s="294" customFormat="1" ht="11.25">
      <c r="A569" s="291" t="s">
        <v>1172</v>
      </c>
      <c r="B569" s="386" t="s">
        <v>31</v>
      </c>
      <c r="C569" s="305" t="s">
        <v>629</v>
      </c>
      <c r="D569" s="287" t="s">
        <v>619</v>
      </c>
      <c r="E569" s="366">
        <f>0.1*1.1*1.1*6</f>
        <v>0.7260000000000002</v>
      </c>
      <c r="F569" s="297" t="s">
        <v>617</v>
      </c>
      <c r="G569" s="34">
        <v>23.48</v>
      </c>
      <c r="H569" s="34">
        <v>89.44</v>
      </c>
      <c r="I569" s="311">
        <f t="shared" si="99"/>
        <v>112.92</v>
      </c>
      <c r="J569" s="472">
        <f>I569*E569</f>
        <v>81.97992000000002</v>
      </c>
      <c r="K569" s="265">
        <f>J569/$J$633</f>
        <v>3.9932501220679696E-05</v>
      </c>
      <c r="L569" s="293"/>
    </row>
    <row r="570" spans="1:13" s="294" customFormat="1" ht="22.5">
      <c r="A570" s="291" t="s">
        <v>1173</v>
      </c>
      <c r="B570" s="346" t="s">
        <v>30</v>
      </c>
      <c r="C570" s="305" t="s">
        <v>1201</v>
      </c>
      <c r="D570" s="33" t="s">
        <v>1204</v>
      </c>
      <c r="E570" s="365">
        <f>0.25*0.4*200</f>
        <v>20</v>
      </c>
      <c r="F570" s="132" t="s">
        <v>617</v>
      </c>
      <c r="G570" s="110">
        <f>M570*0.15</f>
        <v>52.586999999999996</v>
      </c>
      <c r="H570" s="110">
        <f>M570*0.85</f>
        <v>297.993</v>
      </c>
      <c r="I570" s="34">
        <f>G570+H570</f>
        <v>350.58</v>
      </c>
      <c r="J570" s="34">
        <f>I570*E570</f>
        <v>7011.599999999999</v>
      </c>
      <c r="K570" s="265">
        <f>J570/$J$633</f>
        <v>0.003415357389454853</v>
      </c>
      <c r="L570" s="176"/>
      <c r="M570" s="294">
        <v>350.58</v>
      </c>
    </row>
    <row r="571" spans="1:13" s="294" customFormat="1" ht="11.25">
      <c r="A571" s="291" t="s">
        <v>1174</v>
      </c>
      <c r="B571" s="346" t="s">
        <v>46</v>
      </c>
      <c r="C571" s="386"/>
      <c r="D571" s="33" t="s">
        <v>620</v>
      </c>
      <c r="E571" s="365">
        <f>E570*0.5</f>
        <v>10</v>
      </c>
      <c r="F571" s="132" t="s">
        <v>617</v>
      </c>
      <c r="G571" s="110">
        <v>5</v>
      </c>
      <c r="H571" s="110">
        <v>60</v>
      </c>
      <c r="I571" s="34">
        <f>G571+H571</f>
        <v>65</v>
      </c>
      <c r="J571" s="34">
        <f>I571*E571</f>
        <v>650</v>
      </c>
      <c r="K571" s="265">
        <f>J571/$J$633</f>
        <v>0.00031661565165520773</v>
      </c>
      <c r="L571" s="176"/>
      <c r="M571" s="177"/>
    </row>
    <row r="572" spans="1:12" s="294" customFormat="1" ht="11.25">
      <c r="A572" s="291" t="s">
        <v>1175</v>
      </c>
      <c r="B572" s="386" t="s">
        <v>46</v>
      </c>
      <c r="C572" s="306"/>
      <c r="D572" s="287" t="s">
        <v>621</v>
      </c>
      <c r="E572" s="366">
        <v>1</v>
      </c>
      <c r="F572" s="297" t="s">
        <v>556</v>
      </c>
      <c r="G572" s="34">
        <v>20.83</v>
      </c>
      <c r="H572" s="34">
        <v>118</v>
      </c>
      <c r="I572" s="311">
        <f t="shared" si="99"/>
        <v>138.82999999999998</v>
      </c>
      <c r="J572" s="472">
        <f>I572*E572</f>
        <v>138.82999999999998</v>
      </c>
      <c r="K572" s="265">
        <f>J572/$J$633</f>
        <v>6.76242321835269E-05</v>
      </c>
      <c r="L572" s="293"/>
    </row>
    <row r="573" spans="1:12" s="462" customFormat="1" ht="11.25">
      <c r="A573" s="458" t="s">
        <v>416</v>
      </c>
      <c r="B573" s="228"/>
      <c r="C573" s="129"/>
      <c r="D573" s="452" t="s">
        <v>415</v>
      </c>
      <c r="E573" s="365"/>
      <c r="F573" s="459"/>
      <c r="G573" s="460"/>
      <c r="H573" s="460"/>
      <c r="I573" s="311">
        <f t="shared" si="99"/>
        <v>0</v>
      </c>
      <c r="J573" s="276">
        <f>J574</f>
        <v>85237.7</v>
      </c>
      <c r="K573" s="272">
        <f>J573/$J$633</f>
        <v>0.04151936912475554</v>
      </c>
      <c r="L573" s="461"/>
    </row>
    <row r="574" spans="1:12" s="462" customFormat="1" ht="11.25">
      <c r="A574" s="131"/>
      <c r="B574" s="228"/>
      <c r="C574" s="129"/>
      <c r="D574" s="468" t="s">
        <v>1191</v>
      </c>
      <c r="E574" s="453"/>
      <c r="F574" s="453"/>
      <c r="G574" s="455"/>
      <c r="H574" s="455"/>
      <c r="I574" s="311">
        <f t="shared" si="99"/>
        <v>0</v>
      </c>
      <c r="J574" s="368">
        <f>SUM(J575:J588)</f>
        <v>85237.7</v>
      </c>
      <c r="K574" s="43">
        <f>J574/$J$633</f>
        <v>0.04151936912475554</v>
      </c>
      <c r="L574" s="461"/>
    </row>
    <row r="575" spans="1:12" s="462" customFormat="1" ht="33.75">
      <c r="A575" s="131" t="s">
        <v>1176</v>
      </c>
      <c r="B575" s="378" t="s">
        <v>33</v>
      </c>
      <c r="C575" s="378">
        <v>68070</v>
      </c>
      <c r="D575" s="413" t="s">
        <v>1060</v>
      </c>
      <c r="E575" s="414">
        <v>1</v>
      </c>
      <c r="F575" s="415" t="s">
        <v>943</v>
      </c>
      <c r="G575" s="110">
        <f>M575*0.15</f>
        <v>0</v>
      </c>
      <c r="H575" s="110">
        <f>M575*0.85</f>
        <v>0</v>
      </c>
      <c r="I575" s="311">
        <f t="shared" si="99"/>
        <v>0</v>
      </c>
      <c r="J575" s="472">
        <f>SUM(I575*E575)</f>
        <v>0</v>
      </c>
      <c r="K575" s="265">
        <f>J575/$J$633</f>
        <v>0</v>
      </c>
      <c r="L575" s="461"/>
    </row>
    <row r="576" spans="1:12" s="294" customFormat="1" ht="11.25">
      <c r="A576" s="22" t="s">
        <v>1177</v>
      </c>
      <c r="B576" s="518" t="s">
        <v>46</v>
      </c>
      <c r="C576" s="519"/>
      <c r="D576" s="33" t="s">
        <v>1061</v>
      </c>
      <c r="E576" s="416">
        <v>200</v>
      </c>
      <c r="F576" s="18" t="s">
        <v>943</v>
      </c>
      <c r="G576" s="34">
        <v>3</v>
      </c>
      <c r="H576" s="34">
        <v>7</v>
      </c>
      <c r="I576" s="311">
        <f t="shared" si="99"/>
        <v>10</v>
      </c>
      <c r="J576" s="472">
        <f aca="true" t="shared" si="100" ref="J576:J588">E576*I576</f>
        <v>2000</v>
      </c>
      <c r="K576" s="265">
        <f>J576/$J$633</f>
        <v>0.0009742020050929469</v>
      </c>
      <c r="L576" s="210"/>
    </row>
    <row r="577" spans="1:12" s="294" customFormat="1" ht="11.25">
      <c r="A577" s="22" t="s">
        <v>1178</v>
      </c>
      <c r="B577" s="378" t="s">
        <v>31</v>
      </c>
      <c r="C577" s="378">
        <v>71202</v>
      </c>
      <c r="D577" s="33" t="s">
        <v>1062</v>
      </c>
      <c r="E577" s="416">
        <v>92</v>
      </c>
      <c r="F577" s="18" t="s">
        <v>662</v>
      </c>
      <c r="G577" s="34">
        <v>5.64</v>
      </c>
      <c r="H577" s="34">
        <v>4.02</v>
      </c>
      <c r="I577" s="311">
        <f t="shared" si="99"/>
        <v>9.66</v>
      </c>
      <c r="J577" s="472">
        <f t="shared" si="100"/>
        <v>888.72</v>
      </c>
      <c r="K577" s="265">
        <f>J577/$J$633</f>
        <v>0.00043289640298310185</v>
      </c>
      <c r="L577" s="210"/>
    </row>
    <row r="578" spans="1:12" s="294" customFormat="1" ht="11.25">
      <c r="A578" s="22" t="s">
        <v>1179</v>
      </c>
      <c r="B578" s="378" t="s">
        <v>1190</v>
      </c>
      <c r="C578" s="378">
        <v>70692</v>
      </c>
      <c r="D578" s="33" t="s">
        <v>1063</v>
      </c>
      <c r="E578" s="416">
        <v>92</v>
      </c>
      <c r="F578" s="18" t="s">
        <v>943</v>
      </c>
      <c r="G578" s="34">
        <v>4.23</v>
      </c>
      <c r="H578" s="34">
        <v>1.73</v>
      </c>
      <c r="I578" s="311">
        <f t="shared" si="99"/>
        <v>5.960000000000001</v>
      </c>
      <c r="J578" s="472">
        <f t="shared" si="100"/>
        <v>548.32</v>
      </c>
      <c r="K578" s="265">
        <f>J578/$J$633</f>
        <v>0.0002670872217162823</v>
      </c>
      <c r="L578" s="210"/>
    </row>
    <row r="579" spans="1:13" s="294" customFormat="1" ht="11.25">
      <c r="A579" s="22" t="s">
        <v>1180</v>
      </c>
      <c r="B579" s="378" t="s">
        <v>33</v>
      </c>
      <c r="C579" s="378">
        <v>72930</v>
      </c>
      <c r="D579" s="33" t="s">
        <v>1064</v>
      </c>
      <c r="E579" s="416">
        <v>890</v>
      </c>
      <c r="F579" s="18" t="s">
        <v>194</v>
      </c>
      <c r="G579" s="110">
        <f>M579*0.15</f>
        <v>7.178999999999999</v>
      </c>
      <c r="H579" s="110">
        <f>M579*0.85</f>
        <v>40.681</v>
      </c>
      <c r="I579" s="311">
        <f t="shared" si="99"/>
        <v>47.86</v>
      </c>
      <c r="J579" s="472">
        <f>SUM(I579*E579)</f>
        <v>42595.4</v>
      </c>
      <c r="K579" s="265">
        <f>J579/$J$633</f>
        <v>0.020748262043868055</v>
      </c>
      <c r="L579" s="210"/>
      <c r="M579" s="294">
        <v>47.86</v>
      </c>
    </row>
    <row r="580" spans="1:12" s="294" customFormat="1" ht="11.25">
      <c r="A580" s="22" t="s">
        <v>1181</v>
      </c>
      <c r="B580" s="378" t="s">
        <v>1190</v>
      </c>
      <c r="C580" s="378">
        <v>71380</v>
      </c>
      <c r="D580" s="33" t="s">
        <v>1065</v>
      </c>
      <c r="E580" s="416">
        <v>182</v>
      </c>
      <c r="F580" s="18" t="s">
        <v>943</v>
      </c>
      <c r="G580" s="34">
        <v>8.46</v>
      </c>
      <c r="H580" s="34">
        <v>22.65</v>
      </c>
      <c r="I580" s="311">
        <f t="shared" si="99"/>
        <v>31.11</v>
      </c>
      <c r="J580" s="472">
        <f t="shared" si="100"/>
        <v>5662.0199999999995</v>
      </c>
      <c r="K580" s="265">
        <f>J580/$J$633</f>
        <v>0.0027579756184381832</v>
      </c>
      <c r="L580" s="210"/>
    </row>
    <row r="581" spans="1:12" s="294" customFormat="1" ht="11.25">
      <c r="A581" s="22" t="s">
        <v>1182</v>
      </c>
      <c r="B581" s="378" t="s">
        <v>46</v>
      </c>
      <c r="C581" s="378"/>
      <c r="D581" s="33" t="s">
        <v>1066</v>
      </c>
      <c r="E581" s="416">
        <f>E580/2</f>
        <v>91</v>
      </c>
      <c r="F581" s="18" t="s">
        <v>943</v>
      </c>
      <c r="G581" s="34">
        <v>0.41</v>
      </c>
      <c r="H581" s="34">
        <v>1.03</v>
      </c>
      <c r="I581" s="311">
        <f t="shared" si="99"/>
        <v>1.44</v>
      </c>
      <c r="J581" s="472">
        <f t="shared" si="100"/>
        <v>131.04</v>
      </c>
      <c r="K581" s="265">
        <f>J581/$J$633</f>
        <v>6.382971537368988E-05</v>
      </c>
      <c r="L581" s="210"/>
    </row>
    <row r="582" spans="1:12" s="294" customFormat="1" ht="11.25">
      <c r="A582" s="22" t="s">
        <v>1183</v>
      </c>
      <c r="B582" s="378" t="s">
        <v>1190</v>
      </c>
      <c r="C582" s="378">
        <v>71142</v>
      </c>
      <c r="D582" s="417" t="s">
        <v>1067</v>
      </c>
      <c r="E582" s="416">
        <v>92</v>
      </c>
      <c r="F582" s="18" t="s">
        <v>943</v>
      </c>
      <c r="G582" s="34">
        <v>3.67</v>
      </c>
      <c r="H582" s="34">
        <v>2.01</v>
      </c>
      <c r="I582" s="311">
        <f aca="true" t="shared" si="101" ref="I582:I588">G582+H582</f>
        <v>5.68</v>
      </c>
      <c r="J582" s="472">
        <f t="shared" si="100"/>
        <v>522.56</v>
      </c>
      <c r="K582" s="265">
        <f>J582/$J$633</f>
        <v>0.00025453949989068513</v>
      </c>
      <c r="L582" s="210"/>
    </row>
    <row r="583" spans="1:13" s="294" customFormat="1" ht="22.5">
      <c r="A583" s="22" t="s">
        <v>1184</v>
      </c>
      <c r="B583" s="378" t="s">
        <v>33</v>
      </c>
      <c r="C583" s="378">
        <v>72262</v>
      </c>
      <c r="D583" s="417" t="s">
        <v>1068</v>
      </c>
      <c r="E583" s="416">
        <f>E584*2</f>
        <v>184</v>
      </c>
      <c r="F583" s="18" t="s">
        <v>943</v>
      </c>
      <c r="G583" s="110">
        <f>M583*0.15</f>
        <v>1.878</v>
      </c>
      <c r="H583" s="110">
        <f>M583*0.85</f>
        <v>10.642</v>
      </c>
      <c r="I583" s="311">
        <f t="shared" si="101"/>
        <v>12.52</v>
      </c>
      <c r="J583" s="472">
        <f>SUM(I583*E583)</f>
        <v>2303.68</v>
      </c>
      <c r="K583" s="265">
        <f>J583/$J$633</f>
        <v>0.0011221248375462597</v>
      </c>
      <c r="L583" s="210"/>
      <c r="M583" s="294">
        <v>12.52</v>
      </c>
    </row>
    <row r="584" spans="1:12" s="294" customFormat="1" ht="11.25">
      <c r="A584" s="22" t="s">
        <v>1185</v>
      </c>
      <c r="B584" s="518" t="s">
        <v>46</v>
      </c>
      <c r="C584" s="519"/>
      <c r="D584" s="33" t="s">
        <v>1069</v>
      </c>
      <c r="E584" s="416">
        <v>92</v>
      </c>
      <c r="F584" s="18" t="s">
        <v>943</v>
      </c>
      <c r="G584" s="34">
        <v>1.86</v>
      </c>
      <c r="H584" s="34">
        <v>6.19</v>
      </c>
      <c r="I584" s="311">
        <f t="shared" si="101"/>
        <v>8.05</v>
      </c>
      <c r="J584" s="472">
        <f t="shared" si="100"/>
        <v>740.6</v>
      </c>
      <c r="K584" s="265">
        <f>J584/$J$633</f>
        <v>0.00036074700248591823</v>
      </c>
      <c r="L584" s="210"/>
    </row>
    <row r="585" spans="1:12" s="294" customFormat="1" ht="11.25">
      <c r="A585" s="22" t="s">
        <v>1186</v>
      </c>
      <c r="B585" s="378" t="s">
        <v>1190</v>
      </c>
      <c r="C585" s="378">
        <v>71870</v>
      </c>
      <c r="D585" s="33" t="s">
        <v>1070</v>
      </c>
      <c r="E585" s="416">
        <f>(E583+E586+E587)*2+200</f>
        <v>1672</v>
      </c>
      <c r="F585" s="18" t="s">
        <v>943</v>
      </c>
      <c r="G585" s="34">
        <v>0.19</v>
      </c>
      <c r="H585" s="34">
        <v>0.17</v>
      </c>
      <c r="I585" s="311">
        <f t="shared" si="101"/>
        <v>0.36</v>
      </c>
      <c r="J585" s="472">
        <f t="shared" si="100"/>
        <v>601.92</v>
      </c>
      <c r="K585" s="265">
        <f>J585/$J$633</f>
        <v>0.00029319583545277326</v>
      </c>
      <c r="L585" s="210"/>
    </row>
    <row r="586" spans="1:13" s="294" customFormat="1" ht="11.25">
      <c r="A586" s="22" t="s">
        <v>1187</v>
      </c>
      <c r="B586" s="378" t="s">
        <v>33</v>
      </c>
      <c r="C586" s="378">
        <v>72315</v>
      </c>
      <c r="D586" s="33" t="s">
        <v>1071</v>
      </c>
      <c r="E586" s="416">
        <v>72</v>
      </c>
      <c r="F586" s="18" t="s">
        <v>943</v>
      </c>
      <c r="G586" s="110">
        <f>M586*0.15</f>
        <v>3.6405</v>
      </c>
      <c r="H586" s="110">
        <f>M586*0.85</f>
        <v>20.6295</v>
      </c>
      <c r="I586" s="311">
        <f t="shared" si="101"/>
        <v>24.27</v>
      </c>
      <c r="J586" s="472">
        <f>SUM(I586*E586)</f>
        <v>1747.44</v>
      </c>
      <c r="K586" s="265">
        <f>J586/$J$633</f>
        <v>0.0008511797758898095</v>
      </c>
      <c r="L586" s="210"/>
      <c r="M586" s="294">
        <v>24.27</v>
      </c>
    </row>
    <row r="587" spans="1:12" s="294" customFormat="1" ht="11.25">
      <c r="A587" s="22" t="s">
        <v>1188</v>
      </c>
      <c r="B587" s="518" t="s">
        <v>46</v>
      </c>
      <c r="C587" s="519"/>
      <c r="D587" s="33" t="s">
        <v>1072</v>
      </c>
      <c r="E587" s="416">
        <v>480</v>
      </c>
      <c r="F587" s="18" t="s">
        <v>943</v>
      </c>
      <c r="G587" s="34">
        <v>12.6</v>
      </c>
      <c r="H587" s="34">
        <v>42</v>
      </c>
      <c r="I587" s="311">
        <f t="shared" si="101"/>
        <v>54.6</v>
      </c>
      <c r="J587" s="472">
        <f t="shared" si="100"/>
        <v>26208</v>
      </c>
      <c r="K587" s="265">
        <f>J587/$J$633</f>
        <v>0.012765943074737976</v>
      </c>
      <c r="L587" s="210"/>
    </row>
    <row r="588" spans="1:12" s="294" customFormat="1" ht="11.25">
      <c r="A588" s="22" t="s">
        <v>1189</v>
      </c>
      <c r="B588" s="518" t="s">
        <v>46</v>
      </c>
      <c r="C588" s="519"/>
      <c r="D588" s="33" t="s">
        <v>1073</v>
      </c>
      <c r="E588" s="416">
        <v>92</v>
      </c>
      <c r="F588" s="18" t="s">
        <v>943</v>
      </c>
      <c r="G588" s="34">
        <v>4</v>
      </c>
      <c r="H588" s="34">
        <v>10</v>
      </c>
      <c r="I588" s="311">
        <f t="shared" si="101"/>
        <v>14</v>
      </c>
      <c r="J588" s="472">
        <f t="shared" si="100"/>
        <v>1288</v>
      </c>
      <c r="K588" s="265">
        <f>J588/$J$633</f>
        <v>0.0006273860912798578</v>
      </c>
      <c r="L588" s="210"/>
    </row>
    <row r="589" spans="1:11" ht="11.25">
      <c r="A589" s="46">
        <v>17</v>
      </c>
      <c r="B589" s="187"/>
      <c r="C589" s="187"/>
      <c r="D589" s="20" t="s">
        <v>83</v>
      </c>
      <c r="E589" s="395"/>
      <c r="F589" s="26"/>
      <c r="G589" s="46"/>
      <c r="H589" s="20"/>
      <c r="I589" s="41"/>
      <c r="J589" s="27">
        <f>SUM(J590:J599)</f>
        <v>209987.55749999997</v>
      </c>
      <c r="K589" s="42">
        <f aca="true" t="shared" si="102" ref="K589:K594">J589/$J$633</f>
        <v>0.10228514978053521</v>
      </c>
    </row>
    <row r="590" spans="1:13" s="184" customFormat="1" ht="45">
      <c r="A590" s="13" t="s">
        <v>115</v>
      </c>
      <c r="B590" s="129" t="s">
        <v>30</v>
      </c>
      <c r="C590" s="129">
        <v>87548</v>
      </c>
      <c r="D590" s="14" t="s">
        <v>376</v>
      </c>
      <c r="E590" s="12">
        <v>4778.25</v>
      </c>
      <c r="F590" s="15" t="s">
        <v>207</v>
      </c>
      <c r="G590" s="110">
        <f aca="true" t="shared" si="103" ref="G590:G599">M590*0.15</f>
        <v>2.493</v>
      </c>
      <c r="H590" s="110">
        <f aca="true" t="shared" si="104" ref="H590:H599">M590*0.85</f>
        <v>14.127</v>
      </c>
      <c r="I590" s="12">
        <f>G590+H590</f>
        <v>16.62</v>
      </c>
      <c r="J590" s="16">
        <f>E590*I590</f>
        <v>79414.515</v>
      </c>
      <c r="K590" s="17">
        <f t="shared" si="102"/>
        <v>0.03868288987324195</v>
      </c>
      <c r="L590" s="174"/>
      <c r="M590" s="184">
        <v>16.62</v>
      </c>
    </row>
    <row r="591" spans="1:13" s="189" customFormat="1" ht="11.25">
      <c r="A591" s="13" t="s">
        <v>123</v>
      </c>
      <c r="B591" s="129" t="s">
        <v>30</v>
      </c>
      <c r="C591" s="129">
        <v>88497</v>
      </c>
      <c r="D591" s="131" t="s">
        <v>377</v>
      </c>
      <c r="E591" s="12">
        <v>4778.25</v>
      </c>
      <c r="F591" s="11" t="s">
        <v>207</v>
      </c>
      <c r="G591" s="110">
        <f t="shared" si="103"/>
        <v>1.5929999999999997</v>
      </c>
      <c r="H591" s="110">
        <f t="shared" si="104"/>
        <v>9.027</v>
      </c>
      <c r="I591" s="110">
        <f>G591+H591</f>
        <v>10.62</v>
      </c>
      <c r="J591" s="110">
        <f>E591*I591</f>
        <v>50745.015</v>
      </c>
      <c r="K591" s="114">
        <f t="shared" si="102"/>
        <v>0.024717947680735833</v>
      </c>
      <c r="L591" s="230"/>
      <c r="M591" s="189">
        <v>10.62</v>
      </c>
    </row>
    <row r="592" spans="1:13" s="189" customFormat="1" ht="11.25">
      <c r="A592" s="13" t="s">
        <v>124</v>
      </c>
      <c r="B592" s="129" t="s">
        <v>30</v>
      </c>
      <c r="C592" s="247">
        <v>88485</v>
      </c>
      <c r="D592" s="113" t="s">
        <v>378</v>
      </c>
      <c r="E592" s="12">
        <v>4778.25</v>
      </c>
      <c r="F592" s="11" t="s">
        <v>207</v>
      </c>
      <c r="G592" s="110">
        <f t="shared" si="103"/>
        <v>0.24749999999999997</v>
      </c>
      <c r="H592" s="110">
        <f t="shared" si="104"/>
        <v>1.4024999999999999</v>
      </c>
      <c r="I592" s="110">
        <f>G592+H592</f>
        <v>1.65</v>
      </c>
      <c r="J592" s="110">
        <f>E592*I592</f>
        <v>7884.112499999999</v>
      </c>
      <c r="K592" s="114">
        <f t="shared" si="102"/>
        <v>0.0038403591029391826</v>
      </c>
      <c r="L592" s="230"/>
      <c r="M592" s="189">
        <v>1.65</v>
      </c>
    </row>
    <row r="593" spans="1:13" s="184" customFormat="1" ht="22.5">
      <c r="A593" s="13" t="s">
        <v>118</v>
      </c>
      <c r="B593" s="129" t="s">
        <v>30</v>
      </c>
      <c r="C593" s="247">
        <v>88487</v>
      </c>
      <c r="D593" s="14" t="s">
        <v>379</v>
      </c>
      <c r="E593" s="12">
        <v>4778.25</v>
      </c>
      <c r="F593" s="15" t="s">
        <v>207</v>
      </c>
      <c r="G593" s="110">
        <f t="shared" si="103"/>
        <v>1.2075</v>
      </c>
      <c r="H593" s="110">
        <f t="shared" si="104"/>
        <v>6.8425</v>
      </c>
      <c r="I593" s="12">
        <f>G593+H593</f>
        <v>8.05</v>
      </c>
      <c r="J593" s="16">
        <f>E593*I593</f>
        <v>38464.912500000006</v>
      </c>
      <c r="K593" s="17">
        <f t="shared" si="102"/>
        <v>0.01873629744161238</v>
      </c>
      <c r="L593" s="174"/>
      <c r="M593" s="184">
        <v>8.05</v>
      </c>
    </row>
    <row r="594" spans="1:13" s="189" customFormat="1" ht="22.5">
      <c r="A594" s="13" t="s">
        <v>125</v>
      </c>
      <c r="B594" s="129" t="s">
        <v>30</v>
      </c>
      <c r="C594" s="129">
        <v>88423</v>
      </c>
      <c r="D594" s="113" t="s">
        <v>380</v>
      </c>
      <c r="E594" s="12">
        <v>2294.96</v>
      </c>
      <c r="F594" s="11" t="s">
        <v>207</v>
      </c>
      <c r="G594" s="110">
        <f t="shared" si="103"/>
        <v>2.1765</v>
      </c>
      <c r="H594" s="110">
        <f t="shared" si="104"/>
        <v>12.333499999999999</v>
      </c>
      <c r="I594" s="110">
        <f>G594+H594</f>
        <v>14.509999999999998</v>
      </c>
      <c r="J594" s="110">
        <f>E594*I594</f>
        <v>33299.8696</v>
      </c>
      <c r="K594" s="114">
        <f t="shared" si="102"/>
        <v>0.016220399866826832</v>
      </c>
      <c r="L594" s="195"/>
      <c r="M594" s="189">
        <v>14.51</v>
      </c>
    </row>
    <row r="595" spans="1:11" ht="11.25">
      <c r="A595" s="13"/>
      <c r="B595" s="35"/>
      <c r="C595" s="35"/>
      <c r="D595" s="275" t="s">
        <v>417</v>
      </c>
      <c r="E595" s="38"/>
      <c r="F595" s="15"/>
      <c r="G595" s="110">
        <f t="shared" si="103"/>
        <v>0</v>
      </c>
      <c r="H595" s="110">
        <f t="shared" si="104"/>
        <v>0</v>
      </c>
      <c r="I595" s="12"/>
      <c r="J595" s="16"/>
      <c r="K595" s="17"/>
    </row>
    <row r="596" spans="1:13" ht="27.75" customHeight="1">
      <c r="A596" s="13" t="s">
        <v>430</v>
      </c>
      <c r="B596" s="129" t="s">
        <v>30</v>
      </c>
      <c r="C596" s="35">
        <v>88413</v>
      </c>
      <c r="D596" s="278" t="s">
        <v>536</v>
      </c>
      <c r="E596" s="38">
        <v>4.4</v>
      </c>
      <c r="F596" s="11" t="s">
        <v>207</v>
      </c>
      <c r="G596" s="110">
        <f t="shared" si="103"/>
        <v>0.402</v>
      </c>
      <c r="H596" s="110">
        <f t="shared" si="104"/>
        <v>2.278</v>
      </c>
      <c r="I596" s="122">
        <f>G596+H596</f>
        <v>2.68</v>
      </c>
      <c r="J596" s="110">
        <f>E596*I596</f>
        <v>11.792000000000002</v>
      </c>
      <c r="K596" s="114">
        <f>J596/$J$633</f>
        <v>5.743895022028016E-06</v>
      </c>
      <c r="M596" s="177">
        <v>2.68</v>
      </c>
    </row>
    <row r="597" spans="1:13" ht="33.75">
      <c r="A597" s="13" t="s">
        <v>431</v>
      </c>
      <c r="B597" s="129" t="s">
        <v>30</v>
      </c>
      <c r="C597" s="35">
        <v>88420</v>
      </c>
      <c r="D597" s="278" t="s">
        <v>533</v>
      </c>
      <c r="E597" s="38">
        <v>4.4</v>
      </c>
      <c r="F597" s="11" t="s">
        <v>207</v>
      </c>
      <c r="G597" s="110">
        <f t="shared" si="103"/>
        <v>2.5875</v>
      </c>
      <c r="H597" s="110">
        <f t="shared" si="104"/>
        <v>14.6625</v>
      </c>
      <c r="I597" s="122">
        <f>G597+H597</f>
        <v>17.25</v>
      </c>
      <c r="J597" s="110">
        <f>E597*I597</f>
        <v>75.9</v>
      </c>
      <c r="K597" s="114">
        <f>J597/$J$633</f>
        <v>3.697096609327734E-05</v>
      </c>
      <c r="M597" s="177">
        <v>17.25</v>
      </c>
    </row>
    <row r="598" spans="1:13" ht="22.5">
      <c r="A598" s="13" t="s">
        <v>432</v>
      </c>
      <c r="B598" s="129" t="s">
        <v>30</v>
      </c>
      <c r="C598" s="35">
        <v>88414</v>
      </c>
      <c r="D598" s="278" t="s">
        <v>534</v>
      </c>
      <c r="E598" s="38">
        <v>6.39</v>
      </c>
      <c r="F598" s="11" t="s">
        <v>207</v>
      </c>
      <c r="G598" s="110">
        <f t="shared" si="103"/>
        <v>0.4455</v>
      </c>
      <c r="H598" s="110">
        <f t="shared" si="104"/>
        <v>2.5245</v>
      </c>
      <c r="I598" s="122">
        <f>G598+H598</f>
        <v>2.97</v>
      </c>
      <c r="J598" s="110">
        <f>E598*I598</f>
        <v>18.9783</v>
      </c>
      <c r="K598" s="114">
        <f>J598/$J$633</f>
        <v>9.244348956627737E-06</v>
      </c>
      <c r="M598" s="177">
        <v>2.97</v>
      </c>
    </row>
    <row r="599" spans="1:13" ht="33.75">
      <c r="A599" s="13" t="s">
        <v>433</v>
      </c>
      <c r="B599" s="129" t="s">
        <v>30</v>
      </c>
      <c r="C599" s="35">
        <v>88488</v>
      </c>
      <c r="D599" s="278" t="s">
        <v>535</v>
      </c>
      <c r="E599" s="38">
        <v>6.39</v>
      </c>
      <c r="F599" s="11" t="s">
        <v>207</v>
      </c>
      <c r="G599" s="110">
        <f t="shared" si="103"/>
        <v>1.7009999999999998</v>
      </c>
      <c r="H599" s="110">
        <f t="shared" si="104"/>
        <v>9.639</v>
      </c>
      <c r="I599" s="122">
        <f>G599+H599</f>
        <v>11.34</v>
      </c>
      <c r="J599" s="110">
        <f>E599*I599</f>
        <v>72.4626</v>
      </c>
      <c r="K599" s="114">
        <f>J599/$J$633</f>
        <v>3.5296605107124085E-05</v>
      </c>
      <c r="M599" s="177">
        <v>11.34</v>
      </c>
    </row>
    <row r="600" spans="1:11" ht="11.25">
      <c r="A600" s="46">
        <v>18</v>
      </c>
      <c r="B600" s="187"/>
      <c r="C600" s="187"/>
      <c r="D600" s="20" t="s">
        <v>100</v>
      </c>
      <c r="E600" s="395"/>
      <c r="F600" s="26"/>
      <c r="G600" s="46"/>
      <c r="H600" s="20"/>
      <c r="I600" s="41"/>
      <c r="J600" s="27">
        <f>SUM(J601:J608)</f>
        <v>6566.2368799999995</v>
      </c>
      <c r="K600" s="42">
        <f aca="true" t="shared" si="105" ref="K600:K608">J600/$J$633</f>
        <v>0.0031984205672056275</v>
      </c>
    </row>
    <row r="601" spans="1:13" s="189" customFormat="1" ht="11.25">
      <c r="A601" s="111" t="s">
        <v>108</v>
      </c>
      <c r="B601" s="129" t="s">
        <v>30</v>
      </c>
      <c r="C601" s="129" t="s">
        <v>494</v>
      </c>
      <c r="D601" s="113" t="s">
        <v>371</v>
      </c>
      <c r="E601" s="122">
        <v>52.86</v>
      </c>
      <c r="F601" s="11" t="s">
        <v>70</v>
      </c>
      <c r="G601" s="110">
        <f>M601*0.15</f>
        <v>1.3005</v>
      </c>
      <c r="H601" s="110">
        <f>M601*0.85</f>
        <v>7.3694999999999995</v>
      </c>
      <c r="I601" s="122">
        <f aca="true" t="shared" si="106" ref="I601:I608">G601+H601</f>
        <v>8.67</v>
      </c>
      <c r="J601" s="110">
        <f aca="true" t="shared" si="107" ref="J601:J608">E601*I601</f>
        <v>458.2962</v>
      </c>
      <c r="K601" s="114">
        <f t="shared" si="105"/>
        <v>0.0002232365384832391</v>
      </c>
      <c r="L601" s="195"/>
      <c r="M601" s="189">
        <v>8.67</v>
      </c>
    </row>
    <row r="602" spans="1:13" s="189" customFormat="1" ht="11.25">
      <c r="A602" s="111" t="s">
        <v>8</v>
      </c>
      <c r="B602" s="129" t="s">
        <v>30</v>
      </c>
      <c r="C602" s="129" t="s">
        <v>495</v>
      </c>
      <c r="D602" s="24" t="s">
        <v>372</v>
      </c>
      <c r="E602" s="122">
        <v>52.86</v>
      </c>
      <c r="F602" s="11" t="s">
        <v>70</v>
      </c>
      <c r="G602" s="110">
        <f>M602*0.15</f>
        <v>2.7405</v>
      </c>
      <c r="H602" s="110">
        <f>M602*0.85</f>
        <v>15.529499999999999</v>
      </c>
      <c r="I602" s="122">
        <f>G602+H602</f>
        <v>18.27</v>
      </c>
      <c r="J602" s="110">
        <f>E602*I602</f>
        <v>965.7522</v>
      </c>
      <c r="K602" s="114">
        <f t="shared" si="105"/>
        <v>0.0004704188648314623</v>
      </c>
      <c r="L602" s="195"/>
      <c r="M602" s="189">
        <v>18.27</v>
      </c>
    </row>
    <row r="603" spans="1:13" s="189" customFormat="1" ht="11.25">
      <c r="A603" s="111" t="s">
        <v>116</v>
      </c>
      <c r="B603" s="129" t="s">
        <v>30</v>
      </c>
      <c r="C603" s="129" t="s">
        <v>495</v>
      </c>
      <c r="D603" s="113" t="s">
        <v>288</v>
      </c>
      <c r="E603" s="122">
        <v>56</v>
      </c>
      <c r="F603" s="11" t="s">
        <v>70</v>
      </c>
      <c r="G603" s="110">
        <f>M603*0.15</f>
        <v>2.7405</v>
      </c>
      <c r="H603" s="110">
        <f>M603*0.85</f>
        <v>15.529499999999999</v>
      </c>
      <c r="I603" s="122">
        <f t="shared" si="106"/>
        <v>18.27</v>
      </c>
      <c r="J603" s="110">
        <f t="shared" si="107"/>
        <v>1023.12</v>
      </c>
      <c r="K603" s="114">
        <f t="shared" si="105"/>
        <v>0.0004983627777253479</v>
      </c>
      <c r="L603" s="195"/>
      <c r="M603" s="189">
        <v>18.27</v>
      </c>
    </row>
    <row r="604" spans="1:12" s="189" customFormat="1" ht="27.75" customHeight="1">
      <c r="A604" s="111" t="s">
        <v>6</v>
      </c>
      <c r="B604" s="129" t="s">
        <v>31</v>
      </c>
      <c r="C604" s="129" t="s">
        <v>496</v>
      </c>
      <c r="D604" s="24" t="s">
        <v>412</v>
      </c>
      <c r="E604" s="122">
        <f>0.6*4.9</f>
        <v>2.94</v>
      </c>
      <c r="F604" s="11" t="s">
        <v>207</v>
      </c>
      <c r="G604" s="262">
        <v>40.37</v>
      </c>
      <c r="H604" s="262">
        <v>278.69</v>
      </c>
      <c r="I604" s="122">
        <f t="shared" si="106"/>
        <v>319.06</v>
      </c>
      <c r="J604" s="110">
        <f t="shared" si="107"/>
        <v>938.0364</v>
      </c>
      <c r="K604" s="114">
        <f t="shared" si="105"/>
        <v>0.0004569184708650847</v>
      </c>
      <c r="L604" s="195"/>
    </row>
    <row r="605" spans="1:12" s="189" customFormat="1" ht="22.5">
      <c r="A605" s="111" t="s">
        <v>9</v>
      </c>
      <c r="B605" s="129" t="s">
        <v>31</v>
      </c>
      <c r="C605" s="129" t="s">
        <v>496</v>
      </c>
      <c r="D605" s="24" t="s">
        <v>413</v>
      </c>
      <c r="E605" s="122">
        <f>0.6*1.28</f>
        <v>0.768</v>
      </c>
      <c r="F605" s="11" t="s">
        <v>207</v>
      </c>
      <c r="G605" s="262">
        <v>40.37</v>
      </c>
      <c r="H605" s="262">
        <v>278.69</v>
      </c>
      <c r="I605" s="122">
        <f t="shared" si="106"/>
        <v>319.06</v>
      </c>
      <c r="J605" s="110">
        <f t="shared" si="107"/>
        <v>245.03808</v>
      </c>
      <c r="K605" s="114">
        <f t="shared" si="105"/>
        <v>0.00011935829443006296</v>
      </c>
      <c r="L605" s="195"/>
    </row>
    <row r="606" spans="1:12" s="189" customFormat="1" ht="22.5">
      <c r="A606" s="111" t="s">
        <v>10</v>
      </c>
      <c r="B606" s="129" t="s">
        <v>31</v>
      </c>
      <c r="C606" s="129" t="s">
        <v>496</v>
      </c>
      <c r="D606" s="24" t="s">
        <v>414</v>
      </c>
      <c r="E606" s="122">
        <f>0.6*2.5</f>
        <v>1.5</v>
      </c>
      <c r="F606" s="11" t="s">
        <v>207</v>
      </c>
      <c r="G606" s="262">
        <v>40.37</v>
      </c>
      <c r="H606" s="262">
        <v>278.69</v>
      </c>
      <c r="I606" s="122">
        <f>G606+H606</f>
        <v>319.06</v>
      </c>
      <c r="J606" s="110">
        <f>E606*I606</f>
        <v>478.59000000000003</v>
      </c>
      <c r="K606" s="114">
        <f>J606/$J$633</f>
        <v>0.00023312166880871672</v>
      </c>
      <c r="L606" s="195"/>
    </row>
    <row r="607" spans="1:13" s="189" customFormat="1" ht="22.5">
      <c r="A607" s="111" t="s">
        <v>502</v>
      </c>
      <c r="B607" s="129" t="s">
        <v>30</v>
      </c>
      <c r="C607" s="129" t="s">
        <v>504</v>
      </c>
      <c r="D607" s="24" t="s">
        <v>503</v>
      </c>
      <c r="E607" s="122">
        <v>7.2</v>
      </c>
      <c r="F607" s="11" t="s">
        <v>70</v>
      </c>
      <c r="G607" s="110">
        <f>M607*0.15</f>
        <v>8.823</v>
      </c>
      <c r="H607" s="110">
        <f>M607*0.85</f>
        <v>49.997</v>
      </c>
      <c r="I607" s="122">
        <f>G607+H607</f>
        <v>58.82</v>
      </c>
      <c r="J607" s="110">
        <f>E607*I607</f>
        <v>423.504</v>
      </c>
      <c r="K607" s="114">
        <f>J607/$J$633</f>
        <v>0.0002062892229824417</v>
      </c>
      <c r="L607" s="195"/>
      <c r="M607" s="189">
        <v>58.82</v>
      </c>
    </row>
    <row r="608" spans="1:12" s="189" customFormat="1" ht="11.25">
      <c r="A608" s="111" t="s">
        <v>508</v>
      </c>
      <c r="B608" s="129" t="s">
        <v>31</v>
      </c>
      <c r="C608" s="129" t="s">
        <v>513</v>
      </c>
      <c r="D608" s="232" t="s">
        <v>507</v>
      </c>
      <c r="E608" s="122">
        <v>10</v>
      </c>
      <c r="F608" s="11" t="s">
        <v>153</v>
      </c>
      <c r="G608" s="262">
        <v>11.17</v>
      </c>
      <c r="H608" s="262">
        <v>192.22</v>
      </c>
      <c r="I608" s="122">
        <f t="shared" si="106"/>
        <v>203.39</v>
      </c>
      <c r="J608" s="110">
        <f t="shared" si="107"/>
        <v>2033.8999999999999</v>
      </c>
      <c r="K608" s="114">
        <f t="shared" si="105"/>
        <v>0.0009907147290792722</v>
      </c>
      <c r="L608" s="195"/>
    </row>
    <row r="609" spans="1:11" ht="11.25">
      <c r="A609" s="46">
        <v>19</v>
      </c>
      <c r="B609" s="187"/>
      <c r="C609" s="187"/>
      <c r="D609" s="20" t="s">
        <v>77</v>
      </c>
      <c r="E609" s="44"/>
      <c r="F609" s="26"/>
      <c r="G609" s="46"/>
      <c r="H609" s="20"/>
      <c r="I609" s="44"/>
      <c r="J609" s="45">
        <f>SUM(J610:J623)</f>
        <v>401991.9697</v>
      </c>
      <c r="K609" s="42">
        <f>J609/$J$633</f>
        <v>0.19581069145650157</v>
      </c>
    </row>
    <row r="610" spans="1:11" ht="22.5">
      <c r="A610" s="111" t="s">
        <v>126</v>
      </c>
      <c r="B610" s="224" t="s">
        <v>31</v>
      </c>
      <c r="C610" s="129" t="s">
        <v>499</v>
      </c>
      <c r="D610" s="227" t="s">
        <v>497</v>
      </c>
      <c r="E610" s="221">
        <v>900</v>
      </c>
      <c r="F610" s="11" t="s">
        <v>207</v>
      </c>
      <c r="G610" s="128">
        <v>8.2</v>
      </c>
      <c r="H610" s="128">
        <v>56.3</v>
      </c>
      <c r="I610" s="122">
        <f>G610+H610</f>
        <v>64.5</v>
      </c>
      <c r="J610" s="110">
        <f>E610*I610</f>
        <v>58050</v>
      </c>
      <c r="K610" s="17">
        <f>J610/$J$633</f>
        <v>0.028276213197822784</v>
      </c>
    </row>
    <row r="611" spans="1:13" ht="12.75">
      <c r="A611" s="111" t="s">
        <v>189</v>
      </c>
      <c r="B611" s="224" t="s">
        <v>30</v>
      </c>
      <c r="C611" s="129">
        <v>85180</v>
      </c>
      <c r="D611" s="227" t="s">
        <v>277</v>
      </c>
      <c r="E611" s="221">
        <v>350</v>
      </c>
      <c r="F611" s="11" t="s">
        <v>207</v>
      </c>
      <c r="G611" s="110">
        <f>M611*0.15</f>
        <v>1.395</v>
      </c>
      <c r="H611" s="110">
        <f>M611*0.85</f>
        <v>7.905</v>
      </c>
      <c r="I611" s="122">
        <f aca="true" t="shared" si="108" ref="I611:I620">G611+H611</f>
        <v>9.3</v>
      </c>
      <c r="J611" s="110">
        <f aca="true" t="shared" si="109" ref="J611:J620">E611*I611</f>
        <v>3255.0000000000005</v>
      </c>
      <c r="K611" s="17">
        <f aca="true" t="shared" si="110" ref="K611:K623">J611/$J$633</f>
        <v>0.0015855137632887711</v>
      </c>
      <c r="M611">
        <v>9.3</v>
      </c>
    </row>
    <row r="612" spans="1:13" ht="33.75">
      <c r="A612" s="111" t="s">
        <v>190</v>
      </c>
      <c r="B612" s="224" t="s">
        <v>30</v>
      </c>
      <c r="C612" s="129" t="s">
        <v>206</v>
      </c>
      <c r="D612" s="227" t="s">
        <v>278</v>
      </c>
      <c r="E612" s="221">
        <v>2750</v>
      </c>
      <c r="F612" s="11" t="s">
        <v>207</v>
      </c>
      <c r="G612" s="110">
        <f>M612*0.15</f>
        <v>4.823999999999999</v>
      </c>
      <c r="H612" s="110">
        <f>M612*0.85</f>
        <v>27.335999999999995</v>
      </c>
      <c r="I612" s="122">
        <f t="shared" si="108"/>
        <v>32.16</v>
      </c>
      <c r="J612" s="110">
        <f t="shared" si="109"/>
        <v>88439.99999999999</v>
      </c>
      <c r="K612" s="17">
        <f t="shared" si="110"/>
        <v>0.0430792126652101</v>
      </c>
      <c r="M612">
        <v>32.16</v>
      </c>
    </row>
    <row r="613" spans="1:13" ht="33.75">
      <c r="A613" s="111" t="s">
        <v>191</v>
      </c>
      <c r="B613" s="224" t="s">
        <v>30</v>
      </c>
      <c r="C613" s="129" t="s">
        <v>1205</v>
      </c>
      <c r="D613" s="227" t="s">
        <v>281</v>
      </c>
      <c r="E613" s="122">
        <v>582.35</v>
      </c>
      <c r="F613" s="11" t="s">
        <v>194</v>
      </c>
      <c r="G613" s="110">
        <f>M613*0.15</f>
        <v>2.9415</v>
      </c>
      <c r="H613" s="110">
        <f>M613*0.85</f>
        <v>16.668499999999998</v>
      </c>
      <c r="I613" s="122">
        <f t="shared" si="108"/>
        <v>19.61</v>
      </c>
      <c r="J613" s="110">
        <f t="shared" si="109"/>
        <v>11419.8835</v>
      </c>
      <c r="K613" s="17">
        <f t="shared" si="110"/>
        <v>0.00556263670181393</v>
      </c>
      <c r="M613">
        <v>19.61</v>
      </c>
    </row>
    <row r="614" spans="1:11" ht="22.5">
      <c r="A614" s="111" t="s">
        <v>192</v>
      </c>
      <c r="B614" s="224" t="s">
        <v>31</v>
      </c>
      <c r="C614" s="129" t="s">
        <v>498</v>
      </c>
      <c r="D614" s="227" t="s">
        <v>282</v>
      </c>
      <c r="E614" s="122">
        <v>14.4</v>
      </c>
      <c r="F614" s="11" t="s">
        <v>207</v>
      </c>
      <c r="G614" s="128">
        <v>36.9</v>
      </c>
      <c r="H614" s="128">
        <v>247.2</v>
      </c>
      <c r="I614" s="122">
        <f t="shared" si="108"/>
        <v>284.09999999999997</v>
      </c>
      <c r="J614" s="110">
        <f t="shared" si="109"/>
        <v>4091.0399999999995</v>
      </c>
      <c r="K614" s="17">
        <f t="shared" si="110"/>
        <v>0.0019927496854577243</v>
      </c>
    </row>
    <row r="615" spans="1:13" ht="22.5">
      <c r="A615" s="111" t="s">
        <v>193</v>
      </c>
      <c r="B615" s="224" t="s">
        <v>30</v>
      </c>
      <c r="C615" s="129" t="s">
        <v>280</v>
      </c>
      <c r="D615" s="227" t="s">
        <v>279</v>
      </c>
      <c r="E615" s="122">
        <v>1327.6</v>
      </c>
      <c r="F615" s="11" t="s">
        <v>207</v>
      </c>
      <c r="G615" s="110">
        <f>M615*0.15</f>
        <v>2.0685</v>
      </c>
      <c r="H615" s="110">
        <f>M615*0.85</f>
        <v>11.721499999999999</v>
      </c>
      <c r="I615" s="122">
        <f t="shared" si="108"/>
        <v>13.79</v>
      </c>
      <c r="J615" s="110">
        <f t="shared" si="109"/>
        <v>18307.604</v>
      </c>
      <c r="K615" s="17">
        <f t="shared" si="110"/>
        <v>0.008917652262623827</v>
      </c>
      <c r="M615">
        <v>13.79</v>
      </c>
    </row>
    <row r="616" spans="1:12" s="189" customFormat="1" ht="11.25">
      <c r="A616" s="111"/>
      <c r="B616" s="129"/>
      <c r="C616" s="129"/>
      <c r="D616" s="271" t="s">
        <v>283</v>
      </c>
      <c r="E616" s="122"/>
      <c r="F616" s="11"/>
      <c r="G616" s="16"/>
      <c r="H616" s="16"/>
      <c r="I616" s="122">
        <f t="shared" si="108"/>
        <v>0</v>
      </c>
      <c r="J616" s="110">
        <f t="shared" si="109"/>
        <v>0</v>
      </c>
      <c r="K616" s="17">
        <f t="shared" si="110"/>
        <v>0</v>
      </c>
      <c r="L616" s="195"/>
    </row>
    <row r="617" spans="1:13" s="189" customFormat="1" ht="22.5">
      <c r="A617" s="111" t="s">
        <v>198</v>
      </c>
      <c r="B617" s="129" t="s">
        <v>30</v>
      </c>
      <c r="C617" s="129" t="s">
        <v>289</v>
      </c>
      <c r="D617" s="113" t="s">
        <v>284</v>
      </c>
      <c r="E617" s="122">
        <v>93.77</v>
      </c>
      <c r="F617" s="11" t="s">
        <v>207</v>
      </c>
      <c r="G617" s="110">
        <f>M617*0.15</f>
        <v>5.592</v>
      </c>
      <c r="H617" s="110">
        <f>M617*0.85</f>
        <v>31.688</v>
      </c>
      <c r="I617" s="122">
        <f t="shared" si="108"/>
        <v>37.28</v>
      </c>
      <c r="J617" s="110">
        <f t="shared" si="109"/>
        <v>3495.7455999999997</v>
      </c>
      <c r="K617" s="17">
        <f t="shared" si="110"/>
        <v>0.0017027811864074231</v>
      </c>
      <c r="L617" s="195"/>
      <c r="M617" s="189">
        <v>37.28</v>
      </c>
    </row>
    <row r="618" spans="1:12" s="189" customFormat="1" ht="22.5">
      <c r="A618" s="111" t="s">
        <v>202</v>
      </c>
      <c r="B618" s="129" t="s">
        <v>31</v>
      </c>
      <c r="C618" s="129" t="s">
        <v>290</v>
      </c>
      <c r="D618" s="113" t="s">
        <v>285</v>
      </c>
      <c r="E618" s="122">
        <v>12.72</v>
      </c>
      <c r="F618" s="11" t="s">
        <v>207</v>
      </c>
      <c r="G618" s="16">
        <v>20.04</v>
      </c>
      <c r="H618" s="16">
        <v>75.16</v>
      </c>
      <c r="I618" s="122">
        <f t="shared" si="108"/>
        <v>95.19999999999999</v>
      </c>
      <c r="J618" s="110">
        <f t="shared" si="109"/>
        <v>1210.944</v>
      </c>
      <c r="K618" s="17">
        <f t="shared" si="110"/>
        <v>0.0005898520364276367</v>
      </c>
      <c r="L618" s="195"/>
    </row>
    <row r="619" spans="1:13" s="189" customFormat="1" ht="22.5">
      <c r="A619" s="111" t="s">
        <v>203</v>
      </c>
      <c r="B619" s="129" t="s">
        <v>30</v>
      </c>
      <c r="C619" s="129" t="s">
        <v>291</v>
      </c>
      <c r="D619" s="113" t="s">
        <v>287</v>
      </c>
      <c r="E619" s="122">
        <v>183.9</v>
      </c>
      <c r="F619" s="11" t="s">
        <v>207</v>
      </c>
      <c r="G619" s="110">
        <f>M619*0.15</f>
        <v>0.402</v>
      </c>
      <c r="H619" s="110">
        <f>M619*0.85</f>
        <v>2.278</v>
      </c>
      <c r="I619" s="122">
        <f t="shared" si="108"/>
        <v>2.68</v>
      </c>
      <c r="J619" s="110">
        <f t="shared" si="109"/>
        <v>492.85200000000003</v>
      </c>
      <c r="K619" s="17">
        <f t="shared" si="110"/>
        <v>0.00024006870330703454</v>
      </c>
      <c r="L619" s="195"/>
      <c r="M619" s="189">
        <v>2.68</v>
      </c>
    </row>
    <row r="620" spans="1:13" s="189" customFormat="1" ht="33.75">
      <c r="A620" s="111" t="s">
        <v>204</v>
      </c>
      <c r="B620" s="129" t="s">
        <v>30</v>
      </c>
      <c r="C620" s="129" t="s">
        <v>292</v>
      </c>
      <c r="D620" s="113" t="s">
        <v>286</v>
      </c>
      <c r="E620" s="122">
        <v>183.9</v>
      </c>
      <c r="F620" s="11" t="s">
        <v>207</v>
      </c>
      <c r="G620" s="110">
        <f>M620*0.15</f>
        <v>2.5875</v>
      </c>
      <c r="H620" s="110">
        <f>M620*0.85</f>
        <v>14.6625</v>
      </c>
      <c r="I620" s="122">
        <f t="shared" si="108"/>
        <v>17.25</v>
      </c>
      <c r="J620" s="110">
        <f t="shared" si="109"/>
        <v>3172.275</v>
      </c>
      <c r="K620" s="17">
        <f t="shared" si="110"/>
        <v>0.001545218332853114</v>
      </c>
      <c r="L620" s="195"/>
      <c r="M620" s="189">
        <v>17.25</v>
      </c>
    </row>
    <row r="621" spans="1:13" s="189" customFormat="1" ht="11.25">
      <c r="A621" s="111" t="s">
        <v>205</v>
      </c>
      <c r="B621" s="129" t="s">
        <v>30</v>
      </c>
      <c r="C621" s="129" t="s">
        <v>495</v>
      </c>
      <c r="D621" s="113" t="s">
        <v>288</v>
      </c>
      <c r="E621" s="122">
        <v>3</v>
      </c>
      <c r="F621" s="11" t="s">
        <v>194</v>
      </c>
      <c r="G621" s="110">
        <f>M621*0.15</f>
        <v>2.7405</v>
      </c>
      <c r="H621" s="110">
        <f>M621*0.85</f>
        <v>15.529499999999999</v>
      </c>
      <c r="I621" s="122">
        <f>G621+H621</f>
        <v>18.27</v>
      </c>
      <c r="J621" s="110">
        <f>E621*I621</f>
        <v>54.81</v>
      </c>
      <c r="K621" s="17">
        <f>J621/$J$633</f>
        <v>2.669800594957221E-05</v>
      </c>
      <c r="L621" s="195"/>
      <c r="M621" s="189">
        <v>18.27</v>
      </c>
    </row>
    <row r="622" spans="1:12" s="189" customFormat="1" ht="11.25">
      <c r="A622" s="111"/>
      <c r="B622" s="129"/>
      <c r="C622" s="129"/>
      <c r="D622" s="113" t="s">
        <v>532</v>
      </c>
      <c r="E622" s="122"/>
      <c r="F622" s="11"/>
      <c r="G622" s="122"/>
      <c r="H622" s="122"/>
      <c r="I622" s="122"/>
      <c r="J622" s="110"/>
      <c r="K622" s="17"/>
      <c r="L622" s="195"/>
    </row>
    <row r="623" spans="1:12" s="189" customFormat="1" ht="11.25">
      <c r="A623" s="111" t="s">
        <v>530</v>
      </c>
      <c r="B623" s="129" t="s">
        <v>46</v>
      </c>
      <c r="C623" s="129"/>
      <c r="D623" s="113" t="s">
        <v>531</v>
      </c>
      <c r="E623" s="122">
        <v>274.76</v>
      </c>
      <c r="F623" s="11" t="s">
        <v>207</v>
      </c>
      <c r="G623" s="122">
        <v>24.82</v>
      </c>
      <c r="H623" s="122">
        <v>739.49</v>
      </c>
      <c r="I623" s="122">
        <f>G623+H623</f>
        <v>764.3100000000001</v>
      </c>
      <c r="J623" s="110">
        <f>E623*I623</f>
        <v>210001.8156</v>
      </c>
      <c r="K623" s="17">
        <f t="shared" si="110"/>
        <v>0.10229209491533964</v>
      </c>
      <c r="L623" s="195"/>
    </row>
    <row r="624" spans="1:11" ht="11.25">
      <c r="A624" s="46">
        <v>20</v>
      </c>
      <c r="B624" s="187"/>
      <c r="C624" s="187"/>
      <c r="D624" s="20" t="s">
        <v>85</v>
      </c>
      <c r="E624" s="44"/>
      <c r="F624" s="26"/>
      <c r="G624" s="46"/>
      <c r="H624" s="20"/>
      <c r="I624" s="20"/>
      <c r="J624" s="27">
        <f>SUM(J625:J626)</f>
        <v>15863.908599999999</v>
      </c>
      <c r="K624" s="42">
        <f>J624/$J$633</f>
        <v>0.007727325783365621</v>
      </c>
    </row>
    <row r="625" spans="1:13" ht="12.75">
      <c r="A625" s="111" t="s">
        <v>48</v>
      </c>
      <c r="B625" s="228" t="s">
        <v>30</v>
      </c>
      <c r="C625" s="129" t="s">
        <v>35</v>
      </c>
      <c r="D625" s="113" t="s">
        <v>152</v>
      </c>
      <c r="E625" s="122">
        <v>3443.02</v>
      </c>
      <c r="F625" s="11" t="s">
        <v>63</v>
      </c>
      <c r="G625" s="110">
        <f>M625*0.15</f>
        <v>0.2895</v>
      </c>
      <c r="H625" s="110">
        <f>M625*0.85</f>
        <v>1.6404999999999998</v>
      </c>
      <c r="I625" s="110">
        <f>G625+H625</f>
        <v>1.9299999999999997</v>
      </c>
      <c r="J625" s="110">
        <f>E625*I625</f>
        <v>6645.028599999999</v>
      </c>
      <c r="K625" s="17">
        <f>J625/$J$633</f>
        <v>0.003236800093009988</v>
      </c>
      <c r="M625">
        <v>1.93</v>
      </c>
    </row>
    <row r="626" spans="1:11" ht="12.75">
      <c r="A626" s="13" t="s">
        <v>102</v>
      </c>
      <c r="B626" s="228" t="s">
        <v>0</v>
      </c>
      <c r="C626" s="35" t="s">
        <v>178</v>
      </c>
      <c r="D626" s="14" t="s">
        <v>462</v>
      </c>
      <c r="E626" s="12">
        <v>6</v>
      </c>
      <c r="F626" s="15" t="s">
        <v>105</v>
      </c>
      <c r="G626" s="110">
        <f>176*8.73</f>
        <v>1536.48</v>
      </c>
      <c r="H626" s="110"/>
      <c r="I626" s="16">
        <f>G626+H626</f>
        <v>1536.48</v>
      </c>
      <c r="J626" s="16">
        <f>E626*I626</f>
        <v>9218.880000000001</v>
      </c>
      <c r="K626" s="17">
        <f>J626/$J$633</f>
        <v>0.004490525690355633</v>
      </c>
    </row>
    <row r="627" spans="1:11" ht="11.25">
      <c r="A627" s="46">
        <v>21</v>
      </c>
      <c r="B627" s="187"/>
      <c r="C627" s="187"/>
      <c r="D627" s="20" t="s">
        <v>86</v>
      </c>
      <c r="E627" s="44"/>
      <c r="F627" s="26"/>
      <c r="G627" s="46"/>
      <c r="H627" s="20"/>
      <c r="I627" s="20"/>
      <c r="J627" s="27">
        <f>SUM(J628:J632)</f>
        <v>197570.87999999998</v>
      </c>
      <c r="K627" s="42">
        <f aca="true" t="shared" si="111" ref="K627:K632">J627/$J$633</f>
        <v>0.09623697372198899</v>
      </c>
    </row>
    <row r="628" spans="1:11" ht="12.75">
      <c r="A628" s="111" t="s">
        <v>78</v>
      </c>
      <c r="B628" s="228" t="s">
        <v>0</v>
      </c>
      <c r="C628" s="129" t="s">
        <v>34</v>
      </c>
      <c r="D628" s="113" t="s">
        <v>151</v>
      </c>
      <c r="E628" s="126">
        <v>6</v>
      </c>
      <c r="F628" s="11" t="s">
        <v>105</v>
      </c>
      <c r="G628" s="122">
        <f>176*74.26</f>
        <v>13069.76</v>
      </c>
      <c r="H628" s="122"/>
      <c r="I628" s="110">
        <f>G628+H628</f>
        <v>13069.76</v>
      </c>
      <c r="J628" s="110">
        <f>E628*I628</f>
        <v>78418.56</v>
      </c>
      <c r="K628" s="17">
        <f t="shared" si="111"/>
        <v>0.03819775919425078</v>
      </c>
    </row>
    <row r="629" spans="1:11" ht="12.75">
      <c r="A629" s="111" t="s">
        <v>79</v>
      </c>
      <c r="B629" s="228" t="s">
        <v>0</v>
      </c>
      <c r="C629" s="129" t="s">
        <v>1</v>
      </c>
      <c r="D629" s="113" t="s">
        <v>1210</v>
      </c>
      <c r="E629" s="126">
        <v>6</v>
      </c>
      <c r="F629" s="11" t="s">
        <v>105</v>
      </c>
      <c r="G629" s="110">
        <f>176*42.04</f>
        <v>7399.04</v>
      </c>
      <c r="H629" s="110"/>
      <c r="I629" s="110">
        <f>G629+H629</f>
        <v>7399.04</v>
      </c>
      <c r="J629" s="110">
        <f>E629*I629</f>
        <v>44394.24</v>
      </c>
      <c r="K629" s="17">
        <f t="shared" si="111"/>
        <v>0.02162447881128875</v>
      </c>
    </row>
    <row r="630" spans="1:11" ht="12.75">
      <c r="A630" s="111" t="s">
        <v>176</v>
      </c>
      <c r="B630" s="228" t="s">
        <v>0</v>
      </c>
      <c r="C630" s="129" t="s">
        <v>170</v>
      </c>
      <c r="D630" s="113" t="s">
        <v>1211</v>
      </c>
      <c r="E630" s="126">
        <v>6</v>
      </c>
      <c r="F630" s="11" t="s">
        <v>105</v>
      </c>
      <c r="G630" s="110">
        <f>176*22.51</f>
        <v>3961.76</v>
      </c>
      <c r="H630" s="110"/>
      <c r="I630" s="110">
        <f>G630+H630</f>
        <v>3961.76</v>
      </c>
      <c r="J630" s="110">
        <f>E630*I630</f>
        <v>23770.56</v>
      </c>
      <c r="K630" s="17">
        <f t="shared" si="111"/>
        <v>0.011578663607091099</v>
      </c>
    </row>
    <row r="631" spans="1:11" ht="12.75">
      <c r="A631" s="111" t="s">
        <v>177</v>
      </c>
      <c r="B631" s="228" t="s">
        <v>0</v>
      </c>
      <c r="C631" s="129" t="s">
        <v>171</v>
      </c>
      <c r="D631" s="113" t="s">
        <v>1212</v>
      </c>
      <c r="E631" s="126">
        <v>6</v>
      </c>
      <c r="F631" s="11" t="s">
        <v>105</v>
      </c>
      <c r="G631" s="110">
        <f>176*21.27</f>
        <v>3743.52</v>
      </c>
      <c r="H631" s="110"/>
      <c r="I631" s="110">
        <f>G631+H631</f>
        <v>3743.52</v>
      </c>
      <c r="J631" s="110">
        <f>E631*I631</f>
        <v>22461.12</v>
      </c>
      <c r="K631" s="17">
        <f t="shared" si="111"/>
        <v>0.010940834070316645</v>
      </c>
    </row>
    <row r="632" spans="1:11" ht="12.75">
      <c r="A632" s="111" t="s">
        <v>1214</v>
      </c>
      <c r="B632" s="228" t="s">
        <v>0</v>
      </c>
      <c r="C632" s="129" t="s">
        <v>1213</v>
      </c>
      <c r="D632" s="113" t="s">
        <v>1209</v>
      </c>
      <c r="E632" s="126">
        <v>6</v>
      </c>
      <c r="F632" s="11" t="s">
        <v>105</v>
      </c>
      <c r="G632" s="110">
        <f>210*22.64</f>
        <v>4754.400000000001</v>
      </c>
      <c r="H632" s="110"/>
      <c r="I632" s="110">
        <f>G632+H632</f>
        <v>4754.400000000001</v>
      </c>
      <c r="J632" s="110">
        <f>E632*I632</f>
        <v>28526.4</v>
      </c>
      <c r="K632" s="17">
        <f t="shared" si="111"/>
        <v>0.01389523803904172</v>
      </c>
    </row>
    <row r="633" spans="1:11" ht="11.25" customHeight="1">
      <c r="A633" s="540" t="s">
        <v>87</v>
      </c>
      <c r="B633" s="541"/>
      <c r="C633" s="541"/>
      <c r="D633" s="541"/>
      <c r="E633" s="541"/>
      <c r="F633" s="541"/>
      <c r="G633" s="541"/>
      <c r="H633" s="541"/>
      <c r="I633" s="542"/>
      <c r="J633" s="45">
        <f>J8+J11+J15+J17+J21+J23+J29+J33+J43+J45+J52+J54+J58+J61+J65+J154+J589+J600+J609+J624+J627</f>
        <v>2052962.3112499996</v>
      </c>
      <c r="K633" s="47">
        <f>K8+K11+K15+K17+K21+K23+K29+K33+K43+K45+K52+K54+K58+K61+K65+K154+K589+K600+K609+K624+K627</f>
        <v>1.0000000000000002</v>
      </c>
    </row>
    <row r="634" spans="1:12" ht="11.25" customHeight="1">
      <c r="A634" s="540" t="s">
        <v>1193</v>
      </c>
      <c r="B634" s="541"/>
      <c r="C634" s="541"/>
      <c r="D634" s="541"/>
      <c r="E634" s="541"/>
      <c r="F634" s="541"/>
      <c r="G634" s="541"/>
      <c r="H634" s="541"/>
      <c r="I634" s="469">
        <f>BDI!B29</f>
        <v>0.24674109679303813</v>
      </c>
      <c r="J634" s="45">
        <f>J633*I634</f>
        <v>506550.17235259543</v>
      </c>
      <c r="K634" s="28">
        <f>J634/J633</f>
        <v>0.24674109679303813</v>
      </c>
      <c r="L634" s="195"/>
    </row>
    <row r="635" spans="1:11" ht="11.25" customHeight="1">
      <c r="A635" s="540" t="s">
        <v>88</v>
      </c>
      <c r="B635" s="541"/>
      <c r="C635" s="541"/>
      <c r="D635" s="541"/>
      <c r="E635" s="541"/>
      <c r="F635" s="541"/>
      <c r="G635" s="541"/>
      <c r="H635" s="541"/>
      <c r="I635" s="542"/>
      <c r="J635" s="45">
        <f>J633+J634</f>
        <v>2559512.483602595</v>
      </c>
      <c r="K635" s="28"/>
    </row>
    <row r="637" spans="1:11" ht="11.25">
      <c r="A637" s="204"/>
      <c r="B637" s="212" t="s">
        <v>89</v>
      </c>
      <c r="C637" s="213"/>
      <c r="D637" s="214"/>
      <c r="E637" s="215"/>
      <c r="F637" s="216"/>
      <c r="G637" s="216"/>
      <c r="H637" s="216"/>
      <c r="I637" s="217"/>
      <c r="J637" s="177"/>
      <c r="K637" s="177"/>
    </row>
    <row r="638" spans="1:11" ht="21" customHeight="1">
      <c r="A638" s="218">
        <v>1</v>
      </c>
      <c r="B638" s="546" t="s">
        <v>106</v>
      </c>
      <c r="C638" s="547"/>
      <c r="D638" s="547"/>
      <c r="E638" s="547"/>
      <c r="F638" s="547"/>
      <c r="G638" s="547"/>
      <c r="H638" s="547"/>
      <c r="I638" s="548"/>
      <c r="K638" s="177"/>
    </row>
    <row r="639" spans="1:11" ht="11.25" customHeight="1">
      <c r="A639" s="218">
        <v>2</v>
      </c>
      <c r="B639" s="549" t="s">
        <v>500</v>
      </c>
      <c r="C639" s="550"/>
      <c r="D639" s="550"/>
      <c r="E639" s="550"/>
      <c r="F639" s="550"/>
      <c r="G639" s="550"/>
      <c r="H639" s="550"/>
      <c r="I639" s="551"/>
      <c r="K639" s="177"/>
    </row>
    <row r="640" spans="1:11" ht="11.25" customHeight="1">
      <c r="A640" s="218">
        <v>3</v>
      </c>
      <c r="B640" s="543" t="s">
        <v>107</v>
      </c>
      <c r="C640" s="544"/>
      <c r="D640" s="544"/>
      <c r="E640" s="544"/>
      <c r="F640" s="544"/>
      <c r="G640" s="544"/>
      <c r="H640" s="544"/>
      <c r="I640" s="545"/>
      <c r="K640" s="177"/>
    </row>
    <row r="641" spans="1:11" ht="11.25" customHeight="1">
      <c r="A641" s="218">
        <v>4</v>
      </c>
      <c r="B641" s="543" t="s">
        <v>90</v>
      </c>
      <c r="C641" s="544"/>
      <c r="D641" s="544"/>
      <c r="E641" s="544"/>
      <c r="F641" s="544"/>
      <c r="G641" s="544"/>
      <c r="H641" s="544"/>
      <c r="I641" s="545"/>
      <c r="J641" s="177"/>
      <c r="K641" s="177"/>
    </row>
    <row r="642" spans="1:10" ht="21.75" customHeight="1">
      <c r="A642" s="218">
        <v>5</v>
      </c>
      <c r="B642" s="543" t="s">
        <v>1207</v>
      </c>
      <c r="C642" s="544"/>
      <c r="D642" s="544"/>
      <c r="E642" s="544"/>
      <c r="F642" s="544"/>
      <c r="G642" s="544"/>
      <c r="H642" s="544"/>
      <c r="I642" s="545"/>
      <c r="J642" s="177"/>
    </row>
    <row r="643" spans="1:9" ht="11.25" customHeight="1">
      <c r="A643" s="218">
        <v>6</v>
      </c>
      <c r="B643" s="543" t="s">
        <v>148</v>
      </c>
      <c r="C643" s="544"/>
      <c r="D643" s="544"/>
      <c r="E643" s="544"/>
      <c r="F643" s="544"/>
      <c r="G643" s="544"/>
      <c r="H643" s="544"/>
      <c r="I643" s="545"/>
    </row>
  </sheetData>
  <sheetProtection/>
  <mergeCells count="97">
    <mergeCell ref="A633:I633"/>
    <mergeCell ref="A635:I635"/>
    <mergeCell ref="B643:I643"/>
    <mergeCell ref="B638:I638"/>
    <mergeCell ref="B639:I639"/>
    <mergeCell ref="B640:I640"/>
    <mergeCell ref="B641:I641"/>
    <mergeCell ref="B642:I642"/>
    <mergeCell ref="A634:H634"/>
    <mergeCell ref="E1:K1"/>
    <mergeCell ref="E2:K2"/>
    <mergeCell ref="A6:K6"/>
    <mergeCell ref="J3:K3"/>
    <mergeCell ref="J4:K4"/>
    <mergeCell ref="E3:F3"/>
    <mergeCell ref="E4:F4"/>
    <mergeCell ref="G4:H4"/>
    <mergeCell ref="G3:H3"/>
    <mergeCell ref="B180:C180"/>
    <mergeCell ref="B181:C181"/>
    <mergeCell ref="B182:C182"/>
    <mergeCell ref="B183:C183"/>
    <mergeCell ref="B422:C422"/>
    <mergeCell ref="B221:C221"/>
    <mergeCell ref="B222:C222"/>
    <mergeCell ref="B223:C223"/>
    <mergeCell ref="B224:C224"/>
    <mergeCell ref="B225:C225"/>
    <mergeCell ref="B184:C184"/>
    <mergeCell ref="B226:C226"/>
    <mergeCell ref="B249:C249"/>
    <mergeCell ref="B250:C250"/>
    <mergeCell ref="B251:C251"/>
    <mergeCell ref="B252:C252"/>
    <mergeCell ref="B253:C253"/>
    <mergeCell ref="B280:C280"/>
    <mergeCell ref="B281:C281"/>
    <mergeCell ref="B282:C282"/>
    <mergeCell ref="B333:C333"/>
    <mergeCell ref="B334:C334"/>
    <mergeCell ref="B302:C302"/>
    <mergeCell ref="B303:C303"/>
    <mergeCell ref="B308:C308"/>
    <mergeCell ref="B335:C335"/>
    <mergeCell ref="B304:C304"/>
    <mergeCell ref="B305:C305"/>
    <mergeCell ref="B306:C306"/>
    <mergeCell ref="B307:C307"/>
    <mergeCell ref="B332:C332"/>
    <mergeCell ref="B357:C357"/>
    <mergeCell ref="B358:C358"/>
    <mergeCell ref="B359:C359"/>
    <mergeCell ref="B360:C360"/>
    <mergeCell ref="B361:C361"/>
    <mergeCell ref="B362:C362"/>
    <mergeCell ref="B421:C421"/>
    <mergeCell ref="B587:C587"/>
    <mergeCell ref="B588:C588"/>
    <mergeCell ref="B363:C363"/>
    <mergeCell ref="B389:C389"/>
    <mergeCell ref="B390:C39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43:C443"/>
    <mergeCell ref="B444:C444"/>
    <mergeCell ref="B445:C445"/>
    <mergeCell ref="B446:C446"/>
    <mergeCell ref="B433:C433"/>
    <mergeCell ref="B434:C434"/>
    <mergeCell ref="B435:C435"/>
    <mergeCell ref="B436:C436"/>
    <mergeCell ref="B437:C437"/>
    <mergeCell ref="B438:C438"/>
    <mergeCell ref="B447:C447"/>
    <mergeCell ref="B448:C448"/>
    <mergeCell ref="B455:C455"/>
    <mergeCell ref="B456:C456"/>
    <mergeCell ref="B439:C439"/>
    <mergeCell ref="B440:C440"/>
    <mergeCell ref="B441:C441"/>
    <mergeCell ref="B442:C442"/>
    <mergeCell ref="B576:C576"/>
    <mergeCell ref="B584:C584"/>
    <mergeCell ref="B449:C449"/>
    <mergeCell ref="B450:C450"/>
    <mergeCell ref="B451:C451"/>
    <mergeCell ref="B452:C452"/>
    <mergeCell ref="B453:C453"/>
    <mergeCell ref="B454:C454"/>
  </mergeCells>
  <printOptions horizontalCentered="1"/>
  <pageMargins left="0.3937007874015748" right="0.3937007874015748" top="0.5511811023622047" bottom="0.7874015748031497" header="0.31496062992125984" footer="0.2755905511811024"/>
  <pageSetup fitToHeight="0" horizontalDpi="600" verticalDpi="600" orientation="landscape" paperSize="9" scale="68" r:id="rId2"/>
  <headerFooter alignWithMargins="0">
    <oddFooter xml:space="preserve">&amp;LEng. Civil Mário Ricardo Queiroz e Silva
CREA 14273/D-GO&amp;CPágina &amp;P de &amp;N&amp;R_____________________
VISTO IFG            </oddFooter>
  </headerFooter>
  <ignoredErrors>
    <ignoredError sqref="C18:C20 C52 C609 C33 C600 C43 C45 C61 C58 C624 C29 C54 C26 C589 C627 C65:C66 C111 C457 C154:C155 C2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="80" zoomScaleNormal="80" zoomScalePageLayoutView="0" workbookViewId="0" topLeftCell="A28">
      <selection activeCell="E64" sqref="E64"/>
    </sheetView>
  </sheetViews>
  <sheetFormatPr defaultColWidth="9.140625" defaultRowHeight="12.75"/>
  <cols>
    <col min="1" max="1" width="17.28125" style="167" customWidth="1"/>
    <col min="2" max="2" width="49.421875" style="168" customWidth="1"/>
    <col min="3" max="3" width="13.57421875" style="169" bestFit="1" customWidth="1"/>
    <col min="4" max="4" width="11.28125" style="170" bestFit="1" customWidth="1"/>
    <col min="5" max="6" width="12.421875" style="170" bestFit="1" customWidth="1"/>
    <col min="7" max="9" width="12.8515625" style="170" bestFit="1" customWidth="1"/>
  </cols>
  <sheetData>
    <row r="1" spans="1:9" ht="21" customHeight="1">
      <c r="A1" s="133"/>
      <c r="B1" s="134"/>
      <c r="C1" s="135"/>
      <c r="D1" s="552" t="s">
        <v>127</v>
      </c>
      <c r="E1" s="552"/>
      <c r="F1" s="553" t="s">
        <v>501</v>
      </c>
      <c r="G1" s="553"/>
      <c r="H1" s="553"/>
      <c r="I1" s="553"/>
    </row>
    <row r="2" spans="1:9" ht="43.5" customHeight="1">
      <c r="A2" s="136"/>
      <c r="B2" s="554" t="s">
        <v>173</v>
      </c>
      <c r="C2" s="555"/>
      <c r="D2" s="552" t="s">
        <v>128</v>
      </c>
      <c r="E2" s="552"/>
      <c r="F2" s="556" t="s">
        <v>197</v>
      </c>
      <c r="G2" s="556"/>
      <c r="H2" s="556"/>
      <c r="I2" s="556"/>
    </row>
    <row r="3" spans="1:9" ht="21" customHeight="1">
      <c r="A3" s="136"/>
      <c r="B3" s="554" t="s">
        <v>174</v>
      </c>
      <c r="C3" s="555"/>
      <c r="D3" s="552" t="s">
        <v>129</v>
      </c>
      <c r="E3" s="552"/>
      <c r="F3" s="557">
        <v>2822</v>
      </c>
      <c r="G3" s="557"/>
      <c r="H3" s="557"/>
      <c r="I3" s="557"/>
    </row>
    <row r="4" spans="1:9" ht="24.75" customHeight="1">
      <c r="A4" s="137"/>
      <c r="B4" s="138"/>
      <c r="C4" s="139"/>
      <c r="D4" s="552" t="s">
        <v>51</v>
      </c>
      <c r="E4" s="552"/>
      <c r="F4" s="557">
        <f>C52/F3</f>
        <v>906.9852883070854</v>
      </c>
      <c r="G4" s="557"/>
      <c r="H4" s="557"/>
      <c r="I4" s="557"/>
    </row>
    <row r="5" spans="1:9" ht="12.75">
      <c r="A5" s="559"/>
      <c r="B5" s="560"/>
      <c r="C5" s="560"/>
      <c r="D5" s="561"/>
      <c r="E5" s="561"/>
      <c r="F5" s="561"/>
      <c r="G5" s="561"/>
      <c r="H5" s="561"/>
      <c r="I5" s="561"/>
    </row>
    <row r="6" spans="1:9" ht="12.75">
      <c r="A6" s="562" t="s">
        <v>200</v>
      </c>
      <c r="B6" s="562"/>
      <c r="C6" s="562"/>
      <c r="D6" s="562"/>
      <c r="E6" s="562"/>
      <c r="F6" s="562"/>
      <c r="G6" s="562"/>
      <c r="H6" s="562"/>
      <c r="I6" s="562"/>
    </row>
    <row r="7" spans="1:9" ht="12.75">
      <c r="A7" s="140" t="s">
        <v>53</v>
      </c>
      <c r="B7" s="141" t="s">
        <v>54</v>
      </c>
      <c r="C7" s="142" t="s">
        <v>130</v>
      </c>
      <c r="D7" s="143" t="s">
        <v>131</v>
      </c>
      <c r="E7" s="143" t="s">
        <v>132</v>
      </c>
      <c r="F7" s="143" t="s">
        <v>133</v>
      </c>
      <c r="G7" s="143" t="s">
        <v>134</v>
      </c>
      <c r="H7" s="143" t="s">
        <v>135</v>
      </c>
      <c r="I7" s="143" t="s">
        <v>136</v>
      </c>
    </row>
    <row r="8" spans="1:9" ht="12.75">
      <c r="A8" s="148" t="str">
        <f>'[1]Implantação-subestação'!A8</f>
        <v>1</v>
      </c>
      <c r="B8" s="149" t="s">
        <v>109</v>
      </c>
      <c r="C8" s="150">
        <f>ORÇAMENTO!J8</f>
        <v>2098.8</v>
      </c>
      <c r="D8" s="150">
        <f aca="true" t="shared" si="0" ref="D8:I8">D9*$C$8</f>
        <v>2098.8</v>
      </c>
      <c r="E8" s="150">
        <f t="shared" si="0"/>
        <v>0</v>
      </c>
      <c r="F8" s="150">
        <f t="shared" si="0"/>
        <v>0</v>
      </c>
      <c r="G8" s="150">
        <f t="shared" si="0"/>
        <v>0</v>
      </c>
      <c r="H8" s="150">
        <f t="shared" si="0"/>
        <v>0</v>
      </c>
      <c r="I8" s="150">
        <f t="shared" si="0"/>
        <v>0</v>
      </c>
    </row>
    <row r="9" spans="1:9" ht="12.75">
      <c r="A9" s="145"/>
      <c r="B9" s="146"/>
      <c r="C9" s="147"/>
      <c r="D9" s="260">
        <v>1</v>
      </c>
      <c r="E9" s="261"/>
      <c r="F9" s="261"/>
      <c r="G9" s="261"/>
      <c r="H9" s="261"/>
      <c r="I9" s="261"/>
    </row>
    <row r="10" spans="1:9" ht="12.75">
      <c r="A10" s="148" t="str">
        <f>'[1]Implantação-subestação'!A12</f>
        <v>2</v>
      </c>
      <c r="B10" s="149" t="s">
        <v>137</v>
      </c>
      <c r="C10" s="150">
        <f>ORÇAMENTO!J11</f>
        <v>28756.460000000003</v>
      </c>
      <c r="D10" s="144">
        <f aca="true" t="shared" si="1" ref="D10:I10">D11*$C$10</f>
        <v>28756.460000000003</v>
      </c>
      <c r="E10" s="144">
        <f t="shared" si="1"/>
        <v>0</v>
      </c>
      <c r="F10" s="144">
        <f t="shared" si="1"/>
        <v>0</v>
      </c>
      <c r="G10" s="144">
        <f t="shared" si="1"/>
        <v>0</v>
      </c>
      <c r="H10" s="144">
        <f t="shared" si="1"/>
        <v>0</v>
      </c>
      <c r="I10" s="144">
        <f t="shared" si="1"/>
        <v>0</v>
      </c>
    </row>
    <row r="11" spans="1:9" ht="12.75">
      <c r="A11" s="145"/>
      <c r="B11" s="151"/>
      <c r="C11" s="147"/>
      <c r="D11" s="260">
        <v>1</v>
      </c>
      <c r="E11" s="261"/>
      <c r="F11" s="261"/>
      <c r="G11" s="261"/>
      <c r="H11" s="261"/>
      <c r="I11" s="261"/>
    </row>
    <row r="12" spans="1:9" ht="12.75">
      <c r="A12" s="148" t="str">
        <f>'[1]Implantação-subestação'!A20</f>
        <v>3</v>
      </c>
      <c r="B12" s="149" t="s">
        <v>66</v>
      </c>
      <c r="C12" s="150">
        <f>ORÇAMENTO!J15</f>
        <v>0</v>
      </c>
      <c r="D12" s="150">
        <f aca="true" t="shared" si="2" ref="D12:I12">D13*$C$12</f>
        <v>0</v>
      </c>
      <c r="E12" s="150">
        <f t="shared" si="2"/>
        <v>0</v>
      </c>
      <c r="F12" s="150">
        <f t="shared" si="2"/>
        <v>0</v>
      </c>
      <c r="G12" s="150">
        <f t="shared" si="2"/>
        <v>0</v>
      </c>
      <c r="H12" s="150">
        <f t="shared" si="2"/>
        <v>0</v>
      </c>
      <c r="I12" s="150">
        <f t="shared" si="2"/>
        <v>0</v>
      </c>
    </row>
    <row r="13" spans="1:9" ht="12.75">
      <c r="A13" s="152"/>
      <c r="B13" s="153"/>
      <c r="C13" s="154"/>
      <c r="D13" s="260"/>
      <c r="E13" s="261"/>
      <c r="F13" s="261"/>
      <c r="G13" s="261"/>
      <c r="H13" s="261"/>
      <c r="I13" s="261"/>
    </row>
    <row r="14" spans="1:9" ht="12.75">
      <c r="A14" s="155">
        <f>'[1]Implantação-subestação'!A25</f>
        <v>4</v>
      </c>
      <c r="B14" s="149" t="s">
        <v>68</v>
      </c>
      <c r="C14" s="150">
        <f>ORÇAMENTO!J17</f>
        <v>7676.48</v>
      </c>
      <c r="D14" s="150">
        <f aca="true" t="shared" si="3" ref="D14:I14">D15*$C$14</f>
        <v>1279.6692159999998</v>
      </c>
      <c r="E14" s="150">
        <f t="shared" si="3"/>
        <v>1279.6692159999998</v>
      </c>
      <c r="F14" s="150">
        <f t="shared" si="3"/>
        <v>1279.6692159999998</v>
      </c>
      <c r="G14" s="150">
        <f t="shared" si="3"/>
        <v>1279.6692159999998</v>
      </c>
      <c r="H14" s="150">
        <f t="shared" si="3"/>
        <v>1278.901568</v>
      </c>
      <c r="I14" s="150">
        <f t="shared" si="3"/>
        <v>1278.901568</v>
      </c>
    </row>
    <row r="15" spans="1:9" ht="12.75">
      <c r="A15" s="145"/>
      <c r="B15" s="151"/>
      <c r="C15" s="147"/>
      <c r="D15" s="260">
        <v>0.1667</v>
      </c>
      <c r="E15" s="260">
        <v>0.1667</v>
      </c>
      <c r="F15" s="260">
        <v>0.1667</v>
      </c>
      <c r="G15" s="260">
        <v>0.1667</v>
      </c>
      <c r="H15" s="260">
        <v>0.1666</v>
      </c>
      <c r="I15" s="260">
        <v>0.1666</v>
      </c>
    </row>
    <row r="16" spans="1:9" ht="12.75">
      <c r="A16" s="148" t="str">
        <f>'[1]Implantação-subestação'!A27</f>
        <v>5</v>
      </c>
      <c r="B16" s="149" t="s">
        <v>69</v>
      </c>
      <c r="C16" s="150">
        <f>ORÇAMENTO!J21</f>
        <v>0</v>
      </c>
      <c r="D16" s="150">
        <f aca="true" t="shared" si="4" ref="D16:I16">D17*$C$16</f>
        <v>0</v>
      </c>
      <c r="E16" s="150">
        <f t="shared" si="4"/>
        <v>0</v>
      </c>
      <c r="F16" s="150">
        <f t="shared" si="4"/>
        <v>0</v>
      </c>
      <c r="G16" s="150">
        <f t="shared" si="4"/>
        <v>0</v>
      </c>
      <c r="H16" s="150">
        <f t="shared" si="4"/>
        <v>0</v>
      </c>
      <c r="I16" s="150">
        <f t="shared" si="4"/>
        <v>0</v>
      </c>
    </row>
    <row r="17" spans="1:9" ht="12.75">
      <c r="A17" s="156"/>
      <c r="B17" s="157"/>
      <c r="C17" s="158"/>
      <c r="D17" s="260"/>
      <c r="E17" s="261"/>
      <c r="F17" s="261"/>
      <c r="G17" s="261"/>
      <c r="H17" s="261"/>
      <c r="I17" s="261"/>
    </row>
    <row r="18" spans="1:9" ht="12.75">
      <c r="A18" s="148" t="str">
        <f>'[1]Implantação-subestação'!A35</f>
        <v>6</v>
      </c>
      <c r="B18" s="149" t="s">
        <v>72</v>
      </c>
      <c r="C18" s="150">
        <f>ORÇAMENTO!J23</f>
        <v>179684.686755</v>
      </c>
      <c r="D18" s="150">
        <f aca="true" t="shared" si="5" ref="D18:I18">D19*$C$18</f>
        <v>61092.793496700004</v>
      </c>
      <c r="E18" s="150">
        <f t="shared" si="5"/>
        <v>59295.94662915001</v>
      </c>
      <c r="F18" s="150">
        <f t="shared" si="5"/>
        <v>59295.94662915001</v>
      </c>
      <c r="G18" s="150">
        <f t="shared" si="5"/>
        <v>0</v>
      </c>
      <c r="H18" s="150">
        <f t="shared" si="5"/>
        <v>0</v>
      </c>
      <c r="I18" s="150">
        <f t="shared" si="5"/>
        <v>0</v>
      </c>
    </row>
    <row r="19" spans="1:9" ht="12.75">
      <c r="A19" s="145"/>
      <c r="B19" s="151"/>
      <c r="C19" s="147"/>
      <c r="D19" s="260">
        <v>0.34</v>
      </c>
      <c r="E19" s="261">
        <v>0.33</v>
      </c>
      <c r="F19" s="261">
        <v>0.33</v>
      </c>
      <c r="G19" s="261"/>
      <c r="H19" s="261"/>
      <c r="I19" s="261"/>
    </row>
    <row r="20" spans="1:9" ht="12.75">
      <c r="A20" s="148" t="str">
        <f>'[1]Implantação-subestação'!A41</f>
        <v>7</v>
      </c>
      <c r="B20" s="149" t="s">
        <v>76</v>
      </c>
      <c r="C20" s="150">
        <f>ORÇAMENTO!J29</f>
        <v>61828.10599999999</v>
      </c>
      <c r="D20" s="150">
        <f aca="true" t="shared" si="6" ref="D20:I20">D21*$C$20</f>
        <v>0</v>
      </c>
      <c r="E20" s="150">
        <f t="shared" si="6"/>
        <v>21021.55604</v>
      </c>
      <c r="F20" s="150">
        <f t="shared" si="6"/>
        <v>20403.27498</v>
      </c>
      <c r="G20" s="150">
        <f t="shared" si="6"/>
        <v>20403.27498</v>
      </c>
      <c r="H20" s="150">
        <f t="shared" si="6"/>
        <v>0</v>
      </c>
      <c r="I20" s="150">
        <f t="shared" si="6"/>
        <v>0</v>
      </c>
    </row>
    <row r="21" spans="1:9" ht="12.75">
      <c r="A21" s="145"/>
      <c r="B21" s="151"/>
      <c r="C21" s="147"/>
      <c r="D21" s="260"/>
      <c r="E21" s="261">
        <v>0.34</v>
      </c>
      <c r="F21" s="261">
        <v>0.33</v>
      </c>
      <c r="G21" s="261">
        <v>0.33</v>
      </c>
      <c r="H21" s="261"/>
      <c r="I21" s="261"/>
    </row>
    <row r="22" spans="1:9" ht="12.75">
      <c r="A22" s="148" t="str">
        <f>'[1]Implantação-subestação'!A45</f>
        <v>8</v>
      </c>
      <c r="B22" s="149" t="s">
        <v>80</v>
      </c>
      <c r="C22" s="150">
        <f>ORÇAMENTO!J33</f>
        <v>50059.1806</v>
      </c>
      <c r="D22" s="150">
        <f aca="true" t="shared" si="7" ref="D22:I22">D23*$C$22</f>
        <v>0</v>
      </c>
      <c r="E22" s="150">
        <f t="shared" si="7"/>
        <v>0</v>
      </c>
      <c r="F22" s="150">
        <f t="shared" si="7"/>
        <v>0</v>
      </c>
      <c r="G22" s="150">
        <f t="shared" si="7"/>
        <v>17020.121404</v>
      </c>
      <c r="H22" s="150">
        <f t="shared" si="7"/>
        <v>16519.529598</v>
      </c>
      <c r="I22" s="150">
        <f t="shared" si="7"/>
        <v>16519.529598</v>
      </c>
    </row>
    <row r="23" spans="1:9" ht="12.75">
      <c r="A23" s="145"/>
      <c r="B23" s="151"/>
      <c r="C23" s="159"/>
      <c r="D23" s="260"/>
      <c r="E23" s="261"/>
      <c r="F23" s="261"/>
      <c r="G23" s="261">
        <v>0.34</v>
      </c>
      <c r="H23" s="261">
        <v>0.33</v>
      </c>
      <c r="I23" s="261">
        <v>0.33</v>
      </c>
    </row>
    <row r="24" spans="1:9" ht="12.75">
      <c r="A24" s="155">
        <f>'[1]Implantação-subestação'!A51</f>
        <v>9</v>
      </c>
      <c r="B24" s="149" t="s">
        <v>92</v>
      </c>
      <c r="C24" s="150">
        <f>ORÇAMENTO!J43</f>
        <v>490.176</v>
      </c>
      <c r="D24" s="150">
        <f aca="true" t="shared" si="8" ref="D24:I24">D25*$C$24</f>
        <v>0</v>
      </c>
      <c r="E24" s="150">
        <f t="shared" si="8"/>
        <v>0</v>
      </c>
      <c r="F24" s="150">
        <f t="shared" si="8"/>
        <v>0</v>
      </c>
      <c r="G24" s="150">
        <f t="shared" si="8"/>
        <v>0</v>
      </c>
      <c r="H24" s="150">
        <f t="shared" si="8"/>
        <v>0</v>
      </c>
      <c r="I24" s="150">
        <f t="shared" si="8"/>
        <v>490.176</v>
      </c>
    </row>
    <row r="25" spans="1:9" ht="12.75">
      <c r="A25" s="145"/>
      <c r="B25" s="151"/>
      <c r="C25" s="147"/>
      <c r="D25" s="260"/>
      <c r="E25" s="261"/>
      <c r="F25" s="261"/>
      <c r="G25" s="261"/>
      <c r="H25" s="261"/>
      <c r="I25" s="261">
        <v>1</v>
      </c>
    </row>
    <row r="26" spans="1:9" ht="12.75">
      <c r="A26" s="148" t="str">
        <f>'[1]Implantação-subestação'!A53</f>
        <v>10</v>
      </c>
      <c r="B26" s="149" t="s">
        <v>93</v>
      </c>
      <c r="C26" s="150">
        <f>ORÇAMENTO!J45</f>
        <v>137876.07129999998</v>
      </c>
      <c r="D26" s="150">
        <f aca="true" t="shared" si="9" ref="D26:I26">D27*$C$26</f>
        <v>0</v>
      </c>
      <c r="E26" s="150">
        <f t="shared" si="9"/>
        <v>0</v>
      </c>
      <c r="F26" s="150">
        <f t="shared" si="9"/>
        <v>46877.864241999996</v>
      </c>
      <c r="G26" s="150">
        <f t="shared" si="9"/>
        <v>45499.10352899999</v>
      </c>
      <c r="H26" s="150">
        <f t="shared" si="9"/>
        <v>45499.10352899999</v>
      </c>
      <c r="I26" s="150">
        <f t="shared" si="9"/>
        <v>0</v>
      </c>
    </row>
    <row r="27" spans="1:9" ht="12.75">
      <c r="A27" s="145"/>
      <c r="B27" s="151"/>
      <c r="C27" s="147"/>
      <c r="D27" s="260"/>
      <c r="E27" s="261"/>
      <c r="F27" s="261">
        <v>0.34</v>
      </c>
      <c r="G27" s="261">
        <v>0.33</v>
      </c>
      <c r="H27" s="261">
        <v>0.33</v>
      </c>
      <c r="I27" s="261"/>
    </row>
    <row r="28" spans="1:9" ht="12.75">
      <c r="A28" s="148" t="str">
        <f>'[1]Implantação-subestação'!A55</f>
        <v>11</v>
      </c>
      <c r="B28" s="149" t="s">
        <v>94</v>
      </c>
      <c r="C28" s="150">
        <f>ORÇAMENTO!J52</f>
        <v>7987.379400000001</v>
      </c>
      <c r="D28" s="150">
        <f aca="true" t="shared" si="10" ref="D28:I28">D29*$C$28</f>
        <v>0</v>
      </c>
      <c r="E28" s="150">
        <f t="shared" si="10"/>
        <v>3993.6897000000004</v>
      </c>
      <c r="F28" s="150">
        <f t="shared" si="10"/>
        <v>3993.6897000000004</v>
      </c>
      <c r="G28" s="150">
        <f t="shared" si="10"/>
        <v>0</v>
      </c>
      <c r="H28" s="150">
        <f t="shared" si="10"/>
        <v>0</v>
      </c>
      <c r="I28" s="150">
        <f t="shared" si="10"/>
        <v>0</v>
      </c>
    </row>
    <row r="29" spans="1:9" ht="12.75">
      <c r="A29" s="145"/>
      <c r="B29" s="151"/>
      <c r="C29" s="147"/>
      <c r="D29" s="260"/>
      <c r="E29" s="261">
        <v>0.5</v>
      </c>
      <c r="F29" s="261">
        <v>0.5</v>
      </c>
      <c r="G29" s="261"/>
      <c r="H29" s="261"/>
      <c r="I29" s="261"/>
    </row>
    <row r="30" spans="1:9" ht="12.75">
      <c r="A30" s="148" t="str">
        <f>'[1]Implantação-subestação'!A59</f>
        <v>12</v>
      </c>
      <c r="B30" s="149" t="s">
        <v>95</v>
      </c>
      <c r="C30" s="150">
        <f>ORÇAMENTO!J54</f>
        <v>33057.8082</v>
      </c>
      <c r="D30" s="150">
        <f aca="true" t="shared" si="11" ref="D30:I30">D31*$C$30</f>
        <v>0</v>
      </c>
      <c r="E30" s="150">
        <f t="shared" si="11"/>
        <v>0</v>
      </c>
      <c r="F30" s="150">
        <f t="shared" si="11"/>
        <v>33057.8082</v>
      </c>
      <c r="G30" s="150">
        <f t="shared" si="11"/>
        <v>0</v>
      </c>
      <c r="H30" s="150">
        <f t="shared" si="11"/>
        <v>0</v>
      </c>
      <c r="I30" s="150">
        <f t="shared" si="11"/>
        <v>0</v>
      </c>
    </row>
    <row r="31" spans="1:9" ht="12.75">
      <c r="A31" s="145"/>
      <c r="B31" s="151"/>
      <c r="C31" s="147"/>
      <c r="D31" s="260"/>
      <c r="E31" s="261"/>
      <c r="F31" s="261">
        <v>1</v>
      </c>
      <c r="G31" s="261"/>
      <c r="H31" s="261"/>
      <c r="I31" s="261"/>
    </row>
    <row r="32" spans="1:9" ht="27" customHeight="1">
      <c r="A32" s="148" t="str">
        <f>'[1]Implantação-subestação'!A62</f>
        <v>13</v>
      </c>
      <c r="B32" s="149" t="s">
        <v>96</v>
      </c>
      <c r="C32" s="150">
        <f>ORÇAMENTO!J58</f>
        <v>507.11039999999997</v>
      </c>
      <c r="D32" s="150">
        <f aca="true" t="shared" si="12" ref="D32:I32">D33*$C$32</f>
        <v>0</v>
      </c>
      <c r="E32" s="150">
        <f t="shared" si="12"/>
        <v>0</v>
      </c>
      <c r="F32" s="150">
        <f t="shared" si="12"/>
        <v>507.11039999999997</v>
      </c>
      <c r="G32" s="150">
        <f t="shared" si="12"/>
        <v>0</v>
      </c>
      <c r="H32" s="150">
        <f t="shared" si="12"/>
        <v>0</v>
      </c>
      <c r="I32" s="150">
        <f t="shared" si="12"/>
        <v>0</v>
      </c>
    </row>
    <row r="33" spans="1:9" ht="12.75">
      <c r="A33" s="145"/>
      <c r="B33" s="151"/>
      <c r="C33" s="147"/>
      <c r="D33" s="260"/>
      <c r="E33" s="261"/>
      <c r="F33" s="261">
        <v>1</v>
      </c>
      <c r="G33" s="261"/>
      <c r="H33" s="261"/>
      <c r="I33" s="261"/>
    </row>
    <row r="34" spans="1:9" ht="12.75">
      <c r="A34" s="148" t="str">
        <f>'[1]Implantação-subestação'!A65</f>
        <v>14</v>
      </c>
      <c r="B34" s="149" t="s">
        <v>99</v>
      </c>
      <c r="C34" s="150">
        <f>ORÇAMENTO!J61</f>
        <v>4877.35555</v>
      </c>
      <c r="D34" s="150">
        <f aca="true" t="shared" si="13" ref="D34:I34">D35*$C$34</f>
        <v>0</v>
      </c>
      <c r="E34" s="150">
        <f t="shared" si="13"/>
        <v>0</v>
      </c>
      <c r="F34" s="150">
        <f t="shared" si="13"/>
        <v>4877.35555</v>
      </c>
      <c r="G34" s="150">
        <f t="shared" si="13"/>
        <v>0</v>
      </c>
      <c r="H34" s="150">
        <f t="shared" si="13"/>
        <v>0</v>
      </c>
      <c r="I34" s="150">
        <f t="shared" si="13"/>
        <v>0</v>
      </c>
    </row>
    <row r="35" spans="1:9" ht="12.75">
      <c r="A35" s="145"/>
      <c r="B35" s="151"/>
      <c r="C35" s="147"/>
      <c r="D35" s="260"/>
      <c r="E35" s="261"/>
      <c r="F35" s="261">
        <v>1</v>
      </c>
      <c r="G35" s="261"/>
      <c r="H35" s="261"/>
      <c r="I35" s="261"/>
    </row>
    <row r="36" spans="1:9" ht="12.75">
      <c r="A36" s="148" t="str">
        <f>'[1]Implantação-subestação'!A70</f>
        <v>15</v>
      </c>
      <c r="B36" s="149" t="s">
        <v>84</v>
      </c>
      <c r="C36" s="150">
        <f>ORÇAMENTO!J65</f>
        <v>41283.75912999999</v>
      </c>
      <c r="D36" s="150">
        <f aca="true" t="shared" si="14" ref="D36:I36">D37*$C$36</f>
        <v>10320.939782499998</v>
      </c>
      <c r="E36" s="150">
        <f t="shared" si="14"/>
        <v>20641.879564999996</v>
      </c>
      <c r="F36" s="150">
        <f t="shared" si="14"/>
        <v>6192.563869499999</v>
      </c>
      <c r="G36" s="150">
        <f t="shared" si="14"/>
        <v>4128.375912999999</v>
      </c>
      <c r="H36" s="150">
        <f t="shared" si="14"/>
        <v>0</v>
      </c>
      <c r="I36" s="150">
        <f t="shared" si="14"/>
        <v>0</v>
      </c>
    </row>
    <row r="37" spans="1:9" ht="12.75">
      <c r="A37" s="145"/>
      <c r="B37" s="151"/>
      <c r="C37" s="147"/>
      <c r="D37" s="260">
        <v>0.25</v>
      </c>
      <c r="E37" s="260">
        <v>0.5</v>
      </c>
      <c r="F37" s="260">
        <v>0.15</v>
      </c>
      <c r="G37" s="260">
        <v>0.1</v>
      </c>
      <c r="H37" s="260"/>
      <c r="I37" s="260"/>
    </row>
    <row r="38" spans="1:9" ht="22.5">
      <c r="A38" s="148" t="str">
        <f>'[1]Implantação-subestação'!A72</f>
        <v>16</v>
      </c>
      <c r="B38" s="149" t="s">
        <v>138</v>
      </c>
      <c r="C38" s="150">
        <f>ORÇAMENTO!J154</f>
        <v>664798.3852349999</v>
      </c>
      <c r="D38" s="150">
        <f aca="true" t="shared" si="15" ref="D38:I38">D39*$C$38</f>
        <v>110821.89081867448</v>
      </c>
      <c r="E38" s="150">
        <f t="shared" si="15"/>
        <v>110821.89081867448</v>
      </c>
      <c r="F38" s="150">
        <f t="shared" si="15"/>
        <v>110821.89081867448</v>
      </c>
      <c r="G38" s="150">
        <f t="shared" si="15"/>
        <v>110821.89081867448</v>
      </c>
      <c r="H38" s="150">
        <f t="shared" si="15"/>
        <v>110755.41098015099</v>
      </c>
      <c r="I38" s="150">
        <f t="shared" si="15"/>
        <v>110755.41098015099</v>
      </c>
    </row>
    <row r="39" spans="1:9" ht="12.75">
      <c r="A39" s="145"/>
      <c r="B39" s="160"/>
      <c r="C39" s="161"/>
      <c r="D39" s="260">
        <v>0.1667</v>
      </c>
      <c r="E39" s="260">
        <v>0.1667</v>
      </c>
      <c r="F39" s="260">
        <v>0.1667</v>
      </c>
      <c r="G39" s="260">
        <v>0.1667</v>
      </c>
      <c r="H39" s="260">
        <v>0.1666</v>
      </c>
      <c r="I39" s="260">
        <v>0.1666</v>
      </c>
    </row>
    <row r="40" spans="1:9" ht="12.75">
      <c r="A40" s="148" t="str">
        <f>'[1]Implantação-subestação'!A290</f>
        <v>17</v>
      </c>
      <c r="B40" s="149" t="s">
        <v>83</v>
      </c>
      <c r="C40" s="150">
        <f>ORÇAMENTO!J589</f>
        <v>209987.55749999997</v>
      </c>
      <c r="D40" s="150">
        <f aca="true" t="shared" si="16" ref="D40:I40">D41*$C$40</f>
        <v>0</v>
      </c>
      <c r="E40" s="150">
        <f t="shared" si="16"/>
        <v>0</v>
      </c>
      <c r="F40" s="150">
        <f t="shared" si="16"/>
        <v>0</v>
      </c>
      <c r="G40" s="150">
        <f t="shared" si="16"/>
        <v>0</v>
      </c>
      <c r="H40" s="150">
        <f t="shared" si="16"/>
        <v>104993.77874999998</v>
      </c>
      <c r="I40" s="150">
        <f t="shared" si="16"/>
        <v>104993.77874999998</v>
      </c>
    </row>
    <row r="41" spans="1:9" ht="12.75">
      <c r="A41" s="145"/>
      <c r="B41" s="151"/>
      <c r="C41" s="147"/>
      <c r="D41" s="260"/>
      <c r="E41" s="261"/>
      <c r="F41" s="261"/>
      <c r="G41" s="261"/>
      <c r="H41" s="261">
        <v>0.5</v>
      </c>
      <c r="I41" s="261">
        <v>0.5</v>
      </c>
    </row>
    <row r="42" spans="1:9" ht="12.75">
      <c r="A42" s="148" t="str">
        <f>'[1]Implantação-subestação'!A292</f>
        <v>18</v>
      </c>
      <c r="B42" s="149" t="s">
        <v>100</v>
      </c>
      <c r="C42" s="150">
        <f>ORÇAMENTO!J600</f>
        <v>6566.2368799999995</v>
      </c>
      <c r="D42" s="150">
        <f aca="true" t="shared" si="17" ref="D42:I42">D43*$C$42</f>
        <v>1094.591687896</v>
      </c>
      <c r="E42" s="150">
        <f t="shared" si="17"/>
        <v>1094.591687896</v>
      </c>
      <c r="F42" s="150">
        <f t="shared" si="17"/>
        <v>1094.591687896</v>
      </c>
      <c r="G42" s="150">
        <f t="shared" si="17"/>
        <v>1094.591687896</v>
      </c>
      <c r="H42" s="150">
        <f t="shared" si="17"/>
        <v>1093.9350642079999</v>
      </c>
      <c r="I42" s="150">
        <f t="shared" si="17"/>
        <v>1093.9350642079999</v>
      </c>
    </row>
    <row r="43" spans="1:9" ht="12.75">
      <c r="A43" s="145"/>
      <c r="B43" s="151"/>
      <c r="C43" s="147"/>
      <c r="D43" s="260">
        <v>0.1667</v>
      </c>
      <c r="E43" s="260">
        <v>0.1667</v>
      </c>
      <c r="F43" s="260">
        <v>0.1667</v>
      </c>
      <c r="G43" s="260">
        <v>0.1667</v>
      </c>
      <c r="H43" s="260">
        <v>0.1666</v>
      </c>
      <c r="I43" s="260">
        <v>0.1666</v>
      </c>
    </row>
    <row r="44" spans="1:9" ht="12.75">
      <c r="A44" s="148" t="str">
        <f>'[1]Implantação-subestação'!A298</f>
        <v>19</v>
      </c>
      <c r="B44" s="149" t="s">
        <v>77</v>
      </c>
      <c r="C44" s="150">
        <f>ORÇAMENTO!J609</f>
        <v>401991.9697</v>
      </c>
      <c r="D44" s="150">
        <f aca="true" t="shared" si="18" ref="D44:I44">D45*$C$44</f>
        <v>67012.06134899</v>
      </c>
      <c r="E44" s="150">
        <f t="shared" si="18"/>
        <v>67012.06134899</v>
      </c>
      <c r="F44" s="150">
        <f t="shared" si="18"/>
        <v>67012.06134899</v>
      </c>
      <c r="G44" s="150">
        <f t="shared" si="18"/>
        <v>67012.06134899</v>
      </c>
      <c r="H44" s="150">
        <f t="shared" si="18"/>
        <v>66971.86215202</v>
      </c>
      <c r="I44" s="150">
        <f t="shared" si="18"/>
        <v>66971.86215202</v>
      </c>
    </row>
    <row r="45" spans="1:9" ht="12.75">
      <c r="A45" s="145"/>
      <c r="B45" s="151"/>
      <c r="C45" s="147"/>
      <c r="D45" s="260">
        <v>0.1667</v>
      </c>
      <c r="E45" s="260">
        <v>0.1667</v>
      </c>
      <c r="F45" s="260">
        <v>0.1667</v>
      </c>
      <c r="G45" s="260">
        <v>0.1667</v>
      </c>
      <c r="H45" s="260">
        <v>0.1666</v>
      </c>
      <c r="I45" s="260">
        <v>0.1666</v>
      </c>
    </row>
    <row r="46" spans="1:9" ht="12.75">
      <c r="A46" s="155">
        <f>'[1]Implantação-subestação'!A300</f>
        <v>20</v>
      </c>
      <c r="B46" s="149" t="s">
        <v>85</v>
      </c>
      <c r="C46" s="150">
        <f>ORÇAMENTO!J624</f>
        <v>15863.908599999999</v>
      </c>
      <c r="D46" s="150">
        <f aca="true" t="shared" si="19" ref="D46:I46">D47*$C$46</f>
        <v>2644.51356362</v>
      </c>
      <c r="E46" s="150">
        <f t="shared" si="19"/>
        <v>2644.51356362</v>
      </c>
      <c r="F46" s="150">
        <f t="shared" si="19"/>
        <v>2644.51356362</v>
      </c>
      <c r="G46" s="150">
        <f t="shared" si="19"/>
        <v>2644.51356362</v>
      </c>
      <c r="H46" s="150">
        <f t="shared" si="19"/>
        <v>2642.92717276</v>
      </c>
      <c r="I46" s="150">
        <f t="shared" si="19"/>
        <v>2642.92717276</v>
      </c>
    </row>
    <row r="47" spans="1:9" ht="12.75">
      <c r="A47" s="145"/>
      <c r="B47" s="151"/>
      <c r="C47" s="147"/>
      <c r="D47" s="260">
        <v>0.1667</v>
      </c>
      <c r="E47" s="260">
        <v>0.1667</v>
      </c>
      <c r="F47" s="260">
        <v>0.1667</v>
      </c>
      <c r="G47" s="260">
        <v>0.1667</v>
      </c>
      <c r="H47" s="260">
        <v>0.1666</v>
      </c>
      <c r="I47" s="260">
        <v>0.1666</v>
      </c>
    </row>
    <row r="48" spans="1:9" ht="12.75">
      <c r="A48" s="155">
        <f>'[1]Implantação-subestação'!A302</f>
        <v>21</v>
      </c>
      <c r="B48" s="149" t="s">
        <v>86</v>
      </c>
      <c r="C48" s="150">
        <f>ORÇAMENTO!J627</f>
        <v>197570.87999999998</v>
      </c>
      <c r="D48" s="150">
        <f aca="true" t="shared" si="20" ref="D48:I48">D49*$C$48</f>
        <v>32935.06569599999</v>
      </c>
      <c r="E48" s="150">
        <f t="shared" si="20"/>
        <v>32935.06569599999</v>
      </c>
      <c r="F48" s="150">
        <f t="shared" si="20"/>
        <v>32935.06569599999</v>
      </c>
      <c r="G48" s="150">
        <f t="shared" si="20"/>
        <v>32935.06569599999</v>
      </c>
      <c r="H48" s="150">
        <f t="shared" si="20"/>
        <v>32915.30860799999</v>
      </c>
      <c r="I48" s="150">
        <f t="shared" si="20"/>
        <v>32915.30860799999</v>
      </c>
    </row>
    <row r="49" spans="1:9" ht="12.75">
      <c r="A49" s="145"/>
      <c r="B49" s="151"/>
      <c r="C49" s="147"/>
      <c r="D49" s="260">
        <v>0.1667</v>
      </c>
      <c r="E49" s="260">
        <v>0.1667</v>
      </c>
      <c r="F49" s="260">
        <v>0.1667</v>
      </c>
      <c r="G49" s="260">
        <v>0.1667</v>
      </c>
      <c r="H49" s="260">
        <v>0.1666</v>
      </c>
      <c r="I49" s="260">
        <v>0.1666</v>
      </c>
    </row>
    <row r="50" spans="1:9" ht="12.75" customHeight="1">
      <c r="A50" s="558" t="s">
        <v>87</v>
      </c>
      <c r="B50" s="558"/>
      <c r="C50" s="150">
        <f aca="true" t="shared" si="21" ref="C50:I50">C8+C10+C12+C14+C16+C18+C20+C22+C24+C26+C28+C30+C32+C34+C36+C38+C40+C42+C44+C46+C48</f>
        <v>2052962.3112499996</v>
      </c>
      <c r="D50" s="144">
        <f t="shared" si="21"/>
        <v>318056.78561038047</v>
      </c>
      <c r="E50" s="144">
        <f t="shared" si="21"/>
        <v>320740.8642653305</v>
      </c>
      <c r="F50" s="144">
        <f t="shared" si="21"/>
        <v>390993.4059018305</v>
      </c>
      <c r="G50" s="144">
        <f t="shared" si="21"/>
        <v>302838.6681571805</v>
      </c>
      <c r="H50" s="144">
        <f t="shared" si="21"/>
        <v>382670.75742213894</v>
      </c>
      <c r="I50" s="144">
        <f t="shared" si="21"/>
        <v>337661.82989313896</v>
      </c>
    </row>
    <row r="51" spans="1:9" ht="12.75" customHeight="1">
      <c r="A51" s="470" t="s">
        <v>1193</v>
      </c>
      <c r="B51" s="471">
        <f>BDI!B29</f>
        <v>0.24674109679303813</v>
      </c>
      <c r="C51" s="150">
        <f>C50*$B$51</f>
        <v>506550.17235259543</v>
      </c>
      <c r="D51" s="150">
        <f aca="true" t="shared" si="22" ref="D51:I51">D50*$B$51</f>
        <v>78477.68012397346</v>
      </c>
      <c r="E51" s="150">
        <f t="shared" si="22"/>
        <v>79139.95263517462</v>
      </c>
      <c r="F51" s="150">
        <f t="shared" si="22"/>
        <v>96474.14181106321</v>
      </c>
      <c r="G51" s="150">
        <f t="shared" si="22"/>
        <v>74722.74513244562</v>
      </c>
      <c r="H51" s="150">
        <f t="shared" si="22"/>
        <v>94420.6023969612</v>
      </c>
      <c r="I51" s="150">
        <f t="shared" si="22"/>
        <v>83315.05025297738</v>
      </c>
    </row>
    <row r="52" spans="1:9" ht="12.75" customHeight="1">
      <c r="A52" s="558" t="s">
        <v>88</v>
      </c>
      <c r="B52" s="558"/>
      <c r="C52" s="150">
        <f aca="true" t="shared" si="23" ref="C52:I52">C50+C51</f>
        <v>2559512.483602595</v>
      </c>
      <c r="D52" s="150">
        <f t="shared" si="23"/>
        <v>396534.46573435393</v>
      </c>
      <c r="E52" s="150">
        <f t="shared" si="23"/>
        <v>399880.8169005051</v>
      </c>
      <c r="F52" s="150">
        <f t="shared" si="23"/>
        <v>487467.54771289375</v>
      </c>
      <c r="G52" s="150">
        <f t="shared" si="23"/>
        <v>377561.4132896261</v>
      </c>
      <c r="H52" s="150">
        <f t="shared" si="23"/>
        <v>477091.3598191001</v>
      </c>
      <c r="I52" s="150">
        <f t="shared" si="23"/>
        <v>420976.88014611637</v>
      </c>
    </row>
    <row r="53" spans="1:9" ht="12.75" customHeight="1">
      <c r="A53" s="558" t="s">
        <v>139</v>
      </c>
      <c r="B53" s="558"/>
      <c r="C53" s="558"/>
      <c r="D53" s="162">
        <f>D52</f>
        <v>396534.46573435393</v>
      </c>
      <c r="E53" s="162">
        <f>E52+D53</f>
        <v>796415.282634859</v>
      </c>
      <c r="F53" s="162">
        <f>F52+E53</f>
        <v>1283882.8303477527</v>
      </c>
      <c r="G53" s="162">
        <f>G52+F53</f>
        <v>1661444.2436373788</v>
      </c>
      <c r="H53" s="162">
        <f>H52+G53</f>
        <v>2138535.603456479</v>
      </c>
      <c r="I53" s="162">
        <f>I52+H53</f>
        <v>2559512.4836025955</v>
      </c>
    </row>
    <row r="54" spans="1:9" ht="12.75">
      <c r="A54" s="163"/>
      <c r="B54" s="164"/>
      <c r="C54" s="165"/>
      <c r="D54" s="166"/>
      <c r="E54" s="166"/>
      <c r="F54" s="166"/>
      <c r="G54" s="166"/>
      <c r="H54" s="166"/>
      <c r="I54" s="166"/>
    </row>
    <row r="55" ht="12.75">
      <c r="B55" s="171" t="s">
        <v>140</v>
      </c>
    </row>
    <row r="56" ht="12.75">
      <c r="B56" s="171" t="s">
        <v>141</v>
      </c>
    </row>
    <row r="57" ht="12.75">
      <c r="B57" s="171" t="s">
        <v>142</v>
      </c>
    </row>
    <row r="58" ht="12.75">
      <c r="B58" s="171" t="s">
        <v>143</v>
      </c>
    </row>
  </sheetData>
  <sheetProtection/>
  <mergeCells count="15">
    <mergeCell ref="A52:B52"/>
    <mergeCell ref="A53:C53"/>
    <mergeCell ref="D4:E4"/>
    <mergeCell ref="F4:I4"/>
    <mergeCell ref="A5:I5"/>
    <mergeCell ref="A6:I6"/>
    <mergeCell ref="A50:B50"/>
    <mergeCell ref="D1:E1"/>
    <mergeCell ref="F1:I1"/>
    <mergeCell ref="B2:C2"/>
    <mergeCell ref="D2:E2"/>
    <mergeCell ref="F2:I2"/>
    <mergeCell ref="B3:C3"/>
    <mergeCell ref="D3:E3"/>
    <mergeCell ref="F3:I3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Mário Ricardo</cp:lastModifiedBy>
  <cp:lastPrinted>2016-08-19T12:29:34Z</cp:lastPrinted>
  <dcterms:created xsi:type="dcterms:W3CDTF">2008-10-29T13:40:08Z</dcterms:created>
  <dcterms:modified xsi:type="dcterms:W3CDTF">2016-09-05T14:13:15Z</dcterms:modified>
  <cp:category/>
  <cp:version/>
  <cp:contentType/>
  <cp:contentStatus/>
</cp:coreProperties>
</file>